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autoCompressPictures="0" defaultThemeVersion="124226"/>
  <mc:AlternateContent xmlns:mc="http://schemas.openxmlformats.org/markup-compatibility/2006">
    <mc:Choice Requires="x15">
      <x15ac:absPath xmlns:x15ac="http://schemas.microsoft.com/office/spreadsheetml/2010/11/ac" url="C:\Users\charl\Dropbox\AAII\Rebalancing\"/>
    </mc:Choice>
  </mc:AlternateContent>
  <bookViews>
    <workbookView xWindow="480" yWindow="48" windowWidth="20730" windowHeight="11700" tabRatio="892" firstSheet="1" activeTab="2"/>
  </bookViews>
  <sheets>
    <sheet name="Instructions" sheetId="2" r:id="rId1"/>
    <sheet name="Notes" sheetId="3" r:id="rId2"/>
    <sheet name="Summary" sheetId="8" r:id="rId3"/>
    <sheet name="Non-Rebalanced Strategy" sheetId="1" r:id="rId4"/>
    <sheet name="Rebalanced Strategy" sheetId="4" r:id="rId5"/>
    <sheet name="Panic Portfolio" sheetId="7" r:id="rId6"/>
    <sheet name="4% Withdrawals-No Rebalancing" sheetId="9" r:id="rId7"/>
    <sheet name="4% Withdrawals-Rebalanced" sheetId="10" r:id="rId8"/>
    <sheet name="4% Withdrawals-Panic" sheetId="12" r:id="rId9"/>
  </sheets>
  <calcPr calcId="171027"/>
  <extLst>
    <ext xmlns:mx="http://schemas.microsoft.com/office/mac/excel/2008/main" uri="http://schemas.microsoft.com/office/mac/excel/2008/main">
      <mx:ArchID Flags="2"/>
    </ext>
  </extLst>
</workbook>
</file>

<file path=xl/calcChain.xml><?xml version="1.0" encoding="utf-8"?>
<calcChain xmlns="http://schemas.openxmlformats.org/spreadsheetml/2006/main">
  <c r="I33" i="4" l="1"/>
  <c r="I33" i="9"/>
  <c r="I33" i="10"/>
  <c r="I33" i="12"/>
  <c r="AX30" i="12"/>
  <c r="AW30" i="12"/>
  <c r="AU30" i="12"/>
  <c r="AT30" i="12"/>
  <c r="AR30" i="12"/>
  <c r="AQ28" i="12"/>
  <c r="AR28" i="12"/>
  <c r="AT28" i="12"/>
  <c r="D29" i="12" s="1"/>
  <c r="U29" i="12" s="1"/>
  <c r="AU28" i="12"/>
  <c r="E29" i="12" s="1"/>
  <c r="V29" i="12" s="1"/>
  <c r="AW28" i="12"/>
  <c r="G29" i="12" s="1"/>
  <c r="X29" i="12" s="1"/>
  <c r="AX28" i="12"/>
  <c r="AY28" i="12"/>
  <c r="AQ29" i="12"/>
  <c r="AG28" i="12"/>
  <c r="AH28" i="12"/>
  <c r="AJ28" i="12"/>
  <c r="AK28" i="12"/>
  <c r="AM28" i="12"/>
  <c r="AN28" i="12"/>
  <c r="AO28" i="12"/>
  <c r="AG29" i="12"/>
  <c r="R28" i="12"/>
  <c r="S28" i="12"/>
  <c r="U28" i="12"/>
  <c r="V28" i="12"/>
  <c r="X28" i="12"/>
  <c r="Y28" i="12"/>
  <c r="Z28" i="12"/>
  <c r="AD28" i="12" s="1"/>
  <c r="AA28" i="12"/>
  <c r="AB28" i="12" s="1"/>
  <c r="AC28" i="12" s="1"/>
  <c r="R29" i="12"/>
  <c r="A28" i="12"/>
  <c r="N28" i="12" s="1"/>
  <c r="B28" i="12"/>
  <c r="D28" i="12"/>
  <c r="E28" i="12"/>
  <c r="G28" i="12"/>
  <c r="H28" i="12"/>
  <c r="I28" i="12"/>
  <c r="J28" i="12"/>
  <c r="K28" i="12" s="1"/>
  <c r="L28" i="12" s="1"/>
  <c r="O28" i="12"/>
  <c r="A29" i="12"/>
  <c r="B29" i="12"/>
  <c r="H29" i="12"/>
  <c r="Y29" i="12" s="1"/>
  <c r="N29" i="12"/>
  <c r="O29" i="12"/>
  <c r="A13" i="12"/>
  <c r="B13" i="12"/>
  <c r="D13" i="12"/>
  <c r="E13" i="12"/>
  <c r="G13" i="12"/>
  <c r="H13" i="12"/>
  <c r="N13" i="12"/>
  <c r="O13" i="12"/>
  <c r="Z30" i="9"/>
  <c r="Y30" i="9"/>
  <c r="X30" i="9"/>
  <c r="V30" i="9"/>
  <c r="U30" i="9"/>
  <c r="S30" i="9"/>
  <c r="Z30" i="10"/>
  <c r="Y30" i="10"/>
  <c r="X30" i="10"/>
  <c r="V30" i="10"/>
  <c r="U30" i="10"/>
  <c r="S30" i="10"/>
  <c r="BJ29" i="10"/>
  <c r="BI29" i="10"/>
  <c r="BH29" i="10"/>
  <c r="BG29" i="10"/>
  <c r="BE29" i="10"/>
  <c r="BD29" i="10"/>
  <c r="BB29" i="10"/>
  <c r="BA29" i="10"/>
  <c r="BI28" i="10"/>
  <c r="BH28" i="10"/>
  <c r="BG28" i="10"/>
  <c r="BE28" i="10"/>
  <c r="E29" i="10" s="1"/>
  <c r="V29" i="10" s="1"/>
  <c r="BD28" i="10"/>
  <c r="BB28" i="10"/>
  <c r="BJ28" i="10" s="1"/>
  <c r="BA28" i="10"/>
  <c r="AQ29" i="10"/>
  <c r="AY28" i="10"/>
  <c r="AX28" i="10"/>
  <c r="AW28" i="10"/>
  <c r="AU28" i="10"/>
  <c r="AT28" i="10"/>
  <c r="AR28" i="10"/>
  <c r="AQ28" i="10"/>
  <c r="AG28" i="10"/>
  <c r="AH28" i="10"/>
  <c r="AJ28" i="10"/>
  <c r="AK28" i="10"/>
  <c r="AM28" i="10"/>
  <c r="AN28" i="10"/>
  <c r="AO28" i="10"/>
  <c r="AG29" i="10"/>
  <c r="R28" i="10"/>
  <c r="S28" i="10"/>
  <c r="U28" i="10"/>
  <c r="V28" i="10"/>
  <c r="X28" i="10"/>
  <c r="Y28" i="10"/>
  <c r="Z28" i="10"/>
  <c r="AD28" i="10" s="1"/>
  <c r="AA28" i="10"/>
  <c r="AB28" i="10" s="1"/>
  <c r="AC28" i="10" s="1"/>
  <c r="R29" i="10"/>
  <c r="A28" i="10"/>
  <c r="B28" i="10"/>
  <c r="D28" i="10"/>
  <c r="E28" i="10"/>
  <c r="G28" i="10"/>
  <c r="H28" i="10"/>
  <c r="I28" i="10"/>
  <c r="J28" i="10"/>
  <c r="K28" i="10" s="1"/>
  <c r="L28" i="10" s="1"/>
  <c r="N28" i="10"/>
  <c r="O28" i="10"/>
  <c r="A29" i="10"/>
  <c r="B29" i="10"/>
  <c r="D29" i="10"/>
  <c r="U29" i="10" s="1"/>
  <c r="G29" i="10"/>
  <c r="X29" i="10" s="1"/>
  <c r="H29" i="10"/>
  <c r="Y29" i="10" s="1"/>
  <c r="N29" i="10"/>
  <c r="O29" i="10"/>
  <c r="A13" i="10"/>
  <c r="B13" i="10"/>
  <c r="D13" i="10"/>
  <c r="E13" i="10"/>
  <c r="G13" i="10"/>
  <c r="H13" i="10"/>
  <c r="N13" i="10"/>
  <c r="O13" i="10"/>
  <c r="AG28" i="9"/>
  <c r="AH28" i="9"/>
  <c r="AJ28" i="9"/>
  <c r="AK28" i="9"/>
  <c r="AM28" i="9"/>
  <c r="AN28" i="9"/>
  <c r="AO28" i="9"/>
  <c r="AG29" i="9"/>
  <c r="AH29" i="9"/>
  <c r="AJ29" i="9"/>
  <c r="AK29" i="9"/>
  <c r="AM29" i="9"/>
  <c r="AN29" i="9"/>
  <c r="AO29" i="9"/>
  <c r="R28" i="9"/>
  <c r="S28" i="9"/>
  <c r="U28" i="9"/>
  <c r="V28" i="9"/>
  <c r="X28" i="9"/>
  <c r="G29" i="9" s="1"/>
  <c r="X29" i="9" s="1"/>
  <c r="Y28" i="9"/>
  <c r="H29" i="9" s="1"/>
  <c r="Y29" i="9" s="1"/>
  <c r="Z28" i="9"/>
  <c r="AD28" i="9" s="1"/>
  <c r="AA28" i="9"/>
  <c r="AB28" i="9" s="1"/>
  <c r="AC28" i="9" s="1"/>
  <c r="R29" i="9"/>
  <c r="O30" i="9"/>
  <c r="N28" i="9"/>
  <c r="O28" i="9"/>
  <c r="N29" i="9"/>
  <c r="O29" i="9"/>
  <c r="A28" i="9"/>
  <c r="B28" i="9"/>
  <c r="D28" i="9"/>
  <c r="E28" i="9"/>
  <c r="G28" i="9"/>
  <c r="H28" i="9"/>
  <c r="I28" i="9"/>
  <c r="J28" i="9"/>
  <c r="K28" i="9" s="1"/>
  <c r="L28" i="9" s="1"/>
  <c r="A29" i="9"/>
  <c r="B29" i="9"/>
  <c r="S29" i="9" s="1"/>
  <c r="Z29" i="9" s="1"/>
  <c r="D29" i="9"/>
  <c r="U29" i="9" s="1"/>
  <c r="E29" i="9"/>
  <c r="V29" i="9" s="1"/>
  <c r="A13" i="9"/>
  <c r="B13" i="9"/>
  <c r="C13" i="9"/>
  <c r="D13" i="9"/>
  <c r="E13" i="9"/>
  <c r="F13" i="9"/>
  <c r="G13" i="9"/>
  <c r="H13" i="9"/>
  <c r="I33" i="7"/>
  <c r="Y28" i="7"/>
  <c r="Z28" i="7"/>
  <c r="AB28" i="7"/>
  <c r="AC28" i="7"/>
  <c r="AE28" i="7"/>
  <c r="G29" i="7" s="1"/>
  <c r="AF28" i="7"/>
  <c r="H29" i="7" s="1"/>
  <c r="AG28" i="7"/>
  <c r="AH28" i="7"/>
  <c r="Y29" i="7"/>
  <c r="O28" i="7"/>
  <c r="P28" i="7"/>
  <c r="R28" i="7"/>
  <c r="S28" i="7"/>
  <c r="U28" i="7"/>
  <c r="V28" i="7"/>
  <c r="W28" i="7"/>
  <c r="O29" i="7"/>
  <c r="A28" i="7"/>
  <c r="B28" i="7"/>
  <c r="I28" i="7" s="1"/>
  <c r="D28" i="7"/>
  <c r="E28" i="7"/>
  <c r="G28" i="7"/>
  <c r="H28" i="7"/>
  <c r="A29" i="7"/>
  <c r="B29" i="7"/>
  <c r="D29" i="7"/>
  <c r="E29" i="7"/>
  <c r="AC29" i="7" s="1"/>
  <c r="A13" i="7"/>
  <c r="B13" i="7"/>
  <c r="C13" i="7"/>
  <c r="D13" i="7"/>
  <c r="E13" i="7"/>
  <c r="F13" i="7"/>
  <c r="G13" i="7"/>
  <c r="H13" i="7"/>
  <c r="AI28" i="4"/>
  <c r="AJ28" i="4"/>
  <c r="AL28" i="4"/>
  <c r="AM28" i="4"/>
  <c r="AO28" i="4"/>
  <c r="AP28" i="4"/>
  <c r="H29" i="4" s="1"/>
  <c r="AQ28" i="4"/>
  <c r="AR28" i="4"/>
  <c r="AI29" i="4"/>
  <c r="Y28" i="4"/>
  <c r="Z28" i="4"/>
  <c r="AB28" i="4"/>
  <c r="AC28" i="4"/>
  <c r="AE28" i="4"/>
  <c r="AF28" i="4"/>
  <c r="AG28" i="4"/>
  <c r="Y29" i="4"/>
  <c r="O28" i="4"/>
  <c r="P28" i="4"/>
  <c r="R28" i="4"/>
  <c r="S28" i="4"/>
  <c r="U28" i="4"/>
  <c r="V28" i="4"/>
  <c r="W28" i="4"/>
  <c r="O29" i="4"/>
  <c r="A28" i="4"/>
  <c r="B28" i="4"/>
  <c r="I28" i="4" s="1"/>
  <c r="D28" i="4"/>
  <c r="E28" i="4"/>
  <c r="G28" i="4"/>
  <c r="H28" i="4"/>
  <c r="A29" i="4"/>
  <c r="B29" i="4"/>
  <c r="D29" i="4"/>
  <c r="E29" i="4"/>
  <c r="G29" i="4"/>
  <c r="A13" i="4"/>
  <c r="B13" i="4"/>
  <c r="C13" i="4"/>
  <c r="D13" i="4"/>
  <c r="E13" i="4"/>
  <c r="F13" i="4"/>
  <c r="G13" i="4"/>
  <c r="H13" i="4"/>
  <c r="O28" i="1"/>
  <c r="P28" i="1"/>
  <c r="R28" i="1"/>
  <c r="S28" i="1"/>
  <c r="U28" i="1"/>
  <c r="V28" i="1"/>
  <c r="W28" i="1"/>
  <c r="O29" i="1"/>
  <c r="P29" i="1"/>
  <c r="R29" i="1"/>
  <c r="S29" i="1"/>
  <c r="U29" i="1"/>
  <c r="V29" i="1"/>
  <c r="W29" i="1" s="1"/>
  <c r="I33" i="1"/>
  <c r="I38" i="1"/>
  <c r="A28" i="1"/>
  <c r="B28" i="1"/>
  <c r="D28" i="1"/>
  <c r="E28" i="1"/>
  <c r="G28" i="1"/>
  <c r="H28" i="1"/>
  <c r="I28" i="1"/>
  <c r="J28" i="1" s="1"/>
  <c r="K28" i="1" s="1"/>
  <c r="L28" i="1" s="1"/>
  <c r="A29" i="1"/>
  <c r="B29" i="1"/>
  <c r="D29" i="1"/>
  <c r="I29" i="1" s="1"/>
  <c r="J29" i="1" s="1"/>
  <c r="K29" i="1" s="1"/>
  <c r="L29" i="1" s="1"/>
  <c r="E29" i="1"/>
  <c r="G29" i="1"/>
  <c r="H29" i="1"/>
  <c r="J13" i="1"/>
  <c r="K13" i="1"/>
  <c r="M13" i="1"/>
  <c r="N13" i="1"/>
  <c r="P13" i="1"/>
  <c r="Q13" i="1"/>
  <c r="AU29" i="12" l="1"/>
  <c r="AX29" i="12"/>
  <c r="AM29" i="12"/>
  <c r="AW29" i="12"/>
  <c r="Z29" i="12"/>
  <c r="AJ29" i="12"/>
  <c r="AT29" i="12"/>
  <c r="I29" i="12"/>
  <c r="S29" i="12"/>
  <c r="AZ28" i="12"/>
  <c r="AA29" i="12"/>
  <c r="AB29" i="12" s="1"/>
  <c r="AC29" i="12" s="1"/>
  <c r="I29" i="10"/>
  <c r="S29" i="10"/>
  <c r="Z29" i="10" s="1"/>
  <c r="AA29" i="9"/>
  <c r="AB29" i="9" s="1"/>
  <c r="AC29" i="9" s="1"/>
  <c r="I29" i="9"/>
  <c r="AF29" i="7"/>
  <c r="AE29" i="7"/>
  <c r="I29" i="7"/>
  <c r="I38" i="7" s="1"/>
  <c r="S29" i="7"/>
  <c r="AB29" i="7"/>
  <c r="Z29" i="7"/>
  <c r="J28" i="7"/>
  <c r="K28" i="7" s="1"/>
  <c r="L28" i="7" s="1"/>
  <c r="AB29" i="4"/>
  <c r="Z29" i="4"/>
  <c r="AP29" i="4"/>
  <c r="AO29" i="4"/>
  <c r="AE29" i="4"/>
  <c r="AM29" i="4"/>
  <c r="AL29" i="4"/>
  <c r="I29" i="4"/>
  <c r="U29" i="4" s="1"/>
  <c r="AJ29" i="4"/>
  <c r="J28" i="4"/>
  <c r="K28" i="4" s="1"/>
  <c r="L28" i="4" s="1"/>
  <c r="O12" i="12"/>
  <c r="N12" i="12"/>
  <c r="H12" i="12"/>
  <c r="G12" i="12"/>
  <c r="E12" i="12"/>
  <c r="D12" i="12"/>
  <c r="B12" i="12"/>
  <c r="A12" i="12"/>
  <c r="O12" i="10"/>
  <c r="N12" i="10"/>
  <c r="H12" i="10"/>
  <c r="G12" i="10"/>
  <c r="E12" i="10"/>
  <c r="D12" i="10"/>
  <c r="B12" i="10"/>
  <c r="A12" i="10"/>
  <c r="H12" i="9"/>
  <c r="G12" i="9"/>
  <c r="F12" i="9"/>
  <c r="E12" i="9"/>
  <c r="D12" i="9"/>
  <c r="C12" i="9"/>
  <c r="B12" i="9"/>
  <c r="A12" i="9"/>
  <c r="H12" i="7"/>
  <c r="G12" i="7"/>
  <c r="F12" i="7"/>
  <c r="E12" i="7"/>
  <c r="D12" i="7"/>
  <c r="C12" i="7"/>
  <c r="B12" i="7"/>
  <c r="A12" i="7"/>
  <c r="A12" i="4"/>
  <c r="B12" i="4"/>
  <c r="C12" i="4"/>
  <c r="D12" i="4"/>
  <c r="E12" i="4"/>
  <c r="F12" i="4"/>
  <c r="G12" i="4"/>
  <c r="H12" i="4"/>
  <c r="J12" i="1"/>
  <c r="K12" i="1"/>
  <c r="M12" i="1"/>
  <c r="N12" i="1"/>
  <c r="P12" i="1"/>
  <c r="Q12" i="1"/>
  <c r="AY29" i="12" l="1"/>
  <c r="AD29" i="12"/>
  <c r="AH29" i="12"/>
  <c r="AO29" i="12" s="1"/>
  <c r="AR29" i="12"/>
  <c r="AZ29" i="12" s="1"/>
  <c r="AN29" i="12"/>
  <c r="J29" i="12"/>
  <c r="K29" i="12" s="1"/>
  <c r="L29" i="12" s="1"/>
  <c r="I40" i="12"/>
  <c r="AK29" i="12"/>
  <c r="AY29" i="10"/>
  <c r="AX29" i="10"/>
  <c r="AW29" i="10"/>
  <c r="AM29" i="10"/>
  <c r="AA29" i="10"/>
  <c r="AB29" i="10" s="1"/>
  <c r="AC29" i="10" s="1"/>
  <c r="AJ29" i="10"/>
  <c r="AD29" i="10"/>
  <c r="AT29" i="10"/>
  <c r="AK29" i="10"/>
  <c r="AN29" i="10"/>
  <c r="AU29" i="10"/>
  <c r="AR29" i="10"/>
  <c r="AH29" i="10"/>
  <c r="J29" i="10"/>
  <c r="K29" i="10" s="1"/>
  <c r="L29" i="10" s="1"/>
  <c r="I40" i="10"/>
  <c r="J29" i="9"/>
  <c r="K29" i="9" s="1"/>
  <c r="L29" i="9" s="1"/>
  <c r="I40" i="9"/>
  <c r="AD29" i="9"/>
  <c r="J29" i="7"/>
  <c r="K29" i="7" s="1"/>
  <c r="L29" i="7" s="1"/>
  <c r="P29" i="7"/>
  <c r="AG29" i="7"/>
  <c r="AH29" i="7" s="1"/>
  <c r="R29" i="7"/>
  <c r="U29" i="7"/>
  <c r="V29" i="7"/>
  <c r="J29" i="4"/>
  <c r="K29" i="4" s="1"/>
  <c r="L29" i="4" s="1"/>
  <c r="S29" i="4"/>
  <c r="AG29" i="4"/>
  <c r="R29" i="4"/>
  <c r="I38" i="4"/>
  <c r="AQ29" i="4"/>
  <c r="AR29" i="4" s="1"/>
  <c r="P29" i="4"/>
  <c r="W29" i="4" s="1"/>
  <c r="AF29" i="4"/>
  <c r="V29" i="4"/>
  <c r="AC29" i="4"/>
  <c r="A9" i="12"/>
  <c r="A25" i="12" s="1"/>
  <c r="N25" i="12" s="1"/>
  <c r="B9" i="12"/>
  <c r="D9" i="12"/>
  <c r="E9" i="12"/>
  <c r="G9" i="12"/>
  <c r="H9" i="12"/>
  <c r="N9" i="12"/>
  <c r="O9" i="12"/>
  <c r="A10" i="12"/>
  <c r="A26" i="12" s="1"/>
  <c r="B10" i="12"/>
  <c r="D10" i="12"/>
  <c r="E10" i="12"/>
  <c r="G10" i="12"/>
  <c r="H10" i="12"/>
  <c r="N10" i="12"/>
  <c r="O10" i="12"/>
  <c r="A11" i="12"/>
  <c r="A27" i="12" s="1"/>
  <c r="B11" i="12"/>
  <c r="D11" i="12"/>
  <c r="E11" i="12"/>
  <c r="G11" i="12"/>
  <c r="H11" i="12"/>
  <c r="N11" i="12"/>
  <c r="O11" i="12"/>
  <c r="A8" i="10"/>
  <c r="B8" i="10"/>
  <c r="D8" i="10"/>
  <c r="E8" i="10"/>
  <c r="G8" i="10"/>
  <c r="H8" i="10"/>
  <c r="N8" i="10"/>
  <c r="O8" i="10"/>
  <c r="A9" i="10"/>
  <c r="B9" i="10"/>
  <c r="D9" i="10"/>
  <c r="E9" i="10"/>
  <c r="G9" i="10"/>
  <c r="H9" i="10"/>
  <c r="N9" i="10"/>
  <c r="O9" i="10"/>
  <c r="A10" i="10"/>
  <c r="A26" i="10" s="1"/>
  <c r="B10" i="10"/>
  <c r="D10" i="10"/>
  <c r="E10" i="10"/>
  <c r="G10" i="10"/>
  <c r="H10" i="10"/>
  <c r="N10" i="10"/>
  <c r="O10" i="10"/>
  <c r="A11" i="10"/>
  <c r="A27" i="10" s="1"/>
  <c r="B11" i="10"/>
  <c r="D11" i="10"/>
  <c r="E11" i="10"/>
  <c r="G11" i="10"/>
  <c r="H11" i="10"/>
  <c r="N11" i="10"/>
  <c r="O11" i="10"/>
  <c r="A5" i="9"/>
  <c r="B5" i="9"/>
  <c r="C5" i="9"/>
  <c r="D5" i="9"/>
  <c r="E5" i="9"/>
  <c r="F5" i="9"/>
  <c r="G5" i="9"/>
  <c r="H5" i="9"/>
  <c r="A6" i="9"/>
  <c r="B6" i="9"/>
  <c r="C6" i="9"/>
  <c r="D6" i="9"/>
  <c r="E6" i="9"/>
  <c r="F6" i="9"/>
  <c r="G6" i="9"/>
  <c r="H6" i="9"/>
  <c r="A7" i="9"/>
  <c r="B7" i="9"/>
  <c r="C7" i="9"/>
  <c r="D7" i="9"/>
  <c r="E7" i="9"/>
  <c r="F7" i="9"/>
  <c r="G7" i="9"/>
  <c r="H7" i="9"/>
  <c r="A8" i="9"/>
  <c r="B8" i="9"/>
  <c r="C8" i="9"/>
  <c r="D8" i="9"/>
  <c r="E8" i="9"/>
  <c r="F8" i="9"/>
  <c r="G8" i="9"/>
  <c r="H8" i="9"/>
  <c r="A9" i="9"/>
  <c r="B9" i="9"/>
  <c r="C9" i="9"/>
  <c r="D9" i="9"/>
  <c r="E9" i="9"/>
  <c r="F9" i="9"/>
  <c r="G9" i="9"/>
  <c r="H9" i="9"/>
  <c r="A10" i="9"/>
  <c r="A26" i="9" s="1"/>
  <c r="B10" i="9"/>
  <c r="C10" i="9"/>
  <c r="D10" i="9"/>
  <c r="E10" i="9"/>
  <c r="F10" i="9"/>
  <c r="G10" i="9"/>
  <c r="H10" i="9"/>
  <c r="A11" i="9"/>
  <c r="A27" i="9" s="1"/>
  <c r="B11" i="9"/>
  <c r="C11" i="9"/>
  <c r="D11" i="9"/>
  <c r="E11" i="9"/>
  <c r="F11" i="9"/>
  <c r="G11" i="9"/>
  <c r="H11" i="9"/>
  <c r="A9" i="7"/>
  <c r="B9" i="7"/>
  <c r="C9" i="7"/>
  <c r="D9" i="7"/>
  <c r="E9" i="7"/>
  <c r="F9" i="7"/>
  <c r="G9" i="7"/>
  <c r="H9" i="7"/>
  <c r="A10" i="7"/>
  <c r="A26" i="7" s="1"/>
  <c r="O26" i="7" s="1"/>
  <c r="Y26" i="7" s="1"/>
  <c r="B10" i="7"/>
  <c r="C10" i="7"/>
  <c r="D10" i="7"/>
  <c r="E10" i="7"/>
  <c r="F10" i="7"/>
  <c r="G10" i="7"/>
  <c r="H10" i="7"/>
  <c r="A11" i="7"/>
  <c r="A27" i="7" s="1"/>
  <c r="O27" i="7" s="1"/>
  <c r="Y27" i="7" s="1"/>
  <c r="B11" i="7"/>
  <c r="C11" i="7"/>
  <c r="D11" i="7"/>
  <c r="E11" i="7"/>
  <c r="F11" i="7"/>
  <c r="G11" i="7"/>
  <c r="H11" i="7"/>
  <c r="A25" i="7"/>
  <c r="O25" i="7" s="1"/>
  <c r="Y25" i="7" s="1"/>
  <c r="A9" i="4"/>
  <c r="A25" i="4" s="1"/>
  <c r="B9" i="4"/>
  <c r="C9" i="4"/>
  <c r="D9" i="4"/>
  <c r="E9" i="4"/>
  <c r="F9" i="4"/>
  <c r="G9" i="4"/>
  <c r="H9" i="4"/>
  <c r="A10" i="4"/>
  <c r="A26" i="4" s="1"/>
  <c r="B10" i="4"/>
  <c r="C10" i="4"/>
  <c r="D10" i="4"/>
  <c r="E10" i="4"/>
  <c r="F10" i="4"/>
  <c r="G10" i="4"/>
  <c r="H10" i="4"/>
  <c r="A11" i="4"/>
  <c r="A27" i="4" s="1"/>
  <c r="AI27" i="4" s="1"/>
  <c r="B11" i="4"/>
  <c r="C11" i="4"/>
  <c r="D11" i="4"/>
  <c r="E11" i="4"/>
  <c r="F11" i="4"/>
  <c r="G11" i="4"/>
  <c r="H11" i="4"/>
  <c r="A25" i="1"/>
  <c r="A26" i="1"/>
  <c r="O26" i="1" s="1"/>
  <c r="A27" i="1"/>
  <c r="O27" i="1"/>
  <c r="Q10" i="1"/>
  <c r="P10" i="1"/>
  <c r="N10" i="1"/>
  <c r="M10" i="1"/>
  <c r="K10" i="1"/>
  <c r="J10" i="1"/>
  <c r="AO29" i="10" l="1"/>
  <c r="W29" i="7"/>
  <c r="O26" i="4"/>
  <c r="Y26" i="4" s="1"/>
  <c r="AI26" i="4"/>
  <c r="O25" i="4"/>
  <c r="Y25" i="4" s="1"/>
  <c r="AI25" i="4"/>
  <c r="R27" i="9"/>
  <c r="AG27" i="9"/>
  <c r="N27" i="9"/>
  <c r="R26" i="9"/>
  <c r="N26" i="9"/>
  <c r="AG26" i="9"/>
  <c r="R27" i="10"/>
  <c r="N27" i="10"/>
  <c r="AG27" i="10"/>
  <c r="AQ27" i="10" s="1"/>
  <c r="BA27" i="10" s="1"/>
  <c r="N26" i="10"/>
  <c r="AG26" i="10"/>
  <c r="AQ26" i="10" s="1"/>
  <c r="BA26" i="10" s="1"/>
  <c r="R26" i="10"/>
  <c r="AG27" i="12"/>
  <c r="AQ27" i="12" s="1"/>
  <c r="R27" i="12"/>
  <c r="N27" i="12"/>
  <c r="AG26" i="12"/>
  <c r="AQ26" i="12" s="1"/>
  <c r="N26" i="12"/>
  <c r="R26" i="12"/>
  <c r="R25" i="12"/>
  <c r="O27" i="4"/>
  <c r="Y27" i="4" s="1"/>
  <c r="AG25" i="12"/>
  <c r="AQ25" i="12" s="1"/>
  <c r="AQ19" i="12"/>
  <c r="AY18" i="12"/>
  <c r="G31" i="8" l="1"/>
  <c r="F31" i="8"/>
  <c r="G30" i="8"/>
  <c r="F30" i="8"/>
  <c r="J5" i="1"/>
  <c r="J6" i="1"/>
  <c r="J7" i="1"/>
  <c r="J8" i="1"/>
  <c r="J9" i="1"/>
  <c r="J11" i="1"/>
  <c r="Q11" i="1" l="1"/>
  <c r="P11" i="1"/>
  <c r="Q9" i="1"/>
  <c r="P9" i="1"/>
  <c r="Q8" i="1"/>
  <c r="P8" i="1"/>
  <c r="Q7" i="1"/>
  <c r="P7" i="1"/>
  <c r="Q6" i="1"/>
  <c r="P6" i="1"/>
  <c r="Q5" i="1"/>
  <c r="P5" i="1"/>
  <c r="Q4" i="1"/>
  <c r="P4" i="1"/>
  <c r="N11" i="1"/>
  <c r="M11" i="1"/>
  <c r="N9" i="1"/>
  <c r="M9" i="1"/>
  <c r="N8" i="1"/>
  <c r="M8" i="1"/>
  <c r="N7" i="1"/>
  <c r="M7" i="1"/>
  <c r="N6" i="1"/>
  <c r="M6" i="1"/>
  <c r="N5" i="1"/>
  <c r="M5" i="1"/>
  <c r="N4" i="1"/>
  <c r="M4" i="1"/>
  <c r="K5" i="1"/>
  <c r="K6" i="1"/>
  <c r="K7" i="1"/>
  <c r="K8" i="1"/>
  <c r="K9" i="1"/>
  <c r="K11" i="1"/>
  <c r="K4" i="1"/>
  <c r="J4" i="1"/>
  <c r="K14" i="1" l="1"/>
  <c r="Q14" i="1"/>
  <c r="M14" i="1"/>
  <c r="N14" i="1"/>
  <c r="P14" i="1"/>
  <c r="G4" i="9"/>
  <c r="F4" i="9"/>
  <c r="E4" i="9"/>
  <c r="D4" i="9"/>
  <c r="C4" i="9"/>
  <c r="H19" i="9"/>
  <c r="Y19" i="9" s="1"/>
  <c r="G19" i="9"/>
  <c r="X19" i="9" s="1"/>
  <c r="E19" i="9"/>
  <c r="V19" i="9" s="1"/>
  <c r="D19" i="9"/>
  <c r="B19" i="9"/>
  <c r="S19" i="9" s="1"/>
  <c r="H4" i="9"/>
  <c r="A4" i="9"/>
  <c r="A20" i="9" s="1"/>
  <c r="N20" i="9" s="1"/>
  <c r="B4" i="9"/>
  <c r="C2" i="9"/>
  <c r="C17" i="9" s="1"/>
  <c r="T17" i="9" s="1"/>
  <c r="D2" i="9"/>
  <c r="D17" i="9" s="1"/>
  <c r="AJ17" i="9" s="1"/>
  <c r="E2" i="9"/>
  <c r="E17" i="9" s="1"/>
  <c r="AK17" i="9" s="1"/>
  <c r="F2" i="9"/>
  <c r="F17" i="9" s="1"/>
  <c r="W17" i="9" s="1"/>
  <c r="G2" i="9"/>
  <c r="G17" i="9" s="1"/>
  <c r="H2" i="9"/>
  <c r="H17" i="9" s="1"/>
  <c r="AN17" i="9" s="1"/>
  <c r="C3" i="9"/>
  <c r="C18" i="9" s="1"/>
  <c r="D3" i="9"/>
  <c r="D18" i="9" s="1"/>
  <c r="E3" i="9"/>
  <c r="E18" i="9" s="1"/>
  <c r="AK18" i="9" s="1"/>
  <c r="F3" i="9"/>
  <c r="F18" i="9" s="1"/>
  <c r="G3" i="9"/>
  <c r="G18" i="9" s="1"/>
  <c r="AM18" i="9" s="1"/>
  <c r="H3" i="9"/>
  <c r="H18" i="9" s="1"/>
  <c r="B2" i="9"/>
  <c r="B17" i="9" s="1"/>
  <c r="S17" i="9" s="1"/>
  <c r="B3" i="9"/>
  <c r="B18" i="9" s="1"/>
  <c r="A3" i="9"/>
  <c r="R19" i="9"/>
  <c r="R18" i="9"/>
  <c r="Z18" i="9"/>
  <c r="A25" i="9"/>
  <c r="A24" i="9"/>
  <c r="R24" i="9" s="1"/>
  <c r="A23" i="9"/>
  <c r="N23" i="9" s="1"/>
  <c r="A22" i="9"/>
  <c r="R22" i="9" s="1"/>
  <c r="A21" i="9"/>
  <c r="AG21" i="9" s="1"/>
  <c r="B19" i="12"/>
  <c r="S19" i="12" s="1"/>
  <c r="B4" i="12"/>
  <c r="D19" i="12"/>
  <c r="D4" i="12"/>
  <c r="E19" i="12"/>
  <c r="V19" i="12" s="1"/>
  <c r="E4" i="12"/>
  <c r="G19" i="12"/>
  <c r="G4" i="12"/>
  <c r="H19" i="12"/>
  <c r="Y19" i="12" s="1"/>
  <c r="H4" i="12"/>
  <c r="O5" i="12"/>
  <c r="O6" i="12"/>
  <c r="O7" i="12"/>
  <c r="O8" i="12"/>
  <c r="B5" i="12"/>
  <c r="D5" i="12"/>
  <c r="E5" i="12"/>
  <c r="G5" i="12"/>
  <c r="H5" i="12"/>
  <c r="H6" i="12"/>
  <c r="B7" i="12"/>
  <c r="B8" i="12"/>
  <c r="D7" i="12"/>
  <c r="D8" i="12"/>
  <c r="E7" i="12"/>
  <c r="E8" i="12"/>
  <c r="G7" i="12"/>
  <c r="G8" i="12"/>
  <c r="H7" i="12"/>
  <c r="H8" i="12"/>
  <c r="B6" i="12"/>
  <c r="B22" i="12" s="1"/>
  <c r="D6" i="12"/>
  <c r="D22" i="12" s="1"/>
  <c r="E6" i="12"/>
  <c r="E22" i="12" s="1"/>
  <c r="G6" i="12"/>
  <c r="G22" i="12" s="1"/>
  <c r="A8" i="12"/>
  <c r="A24" i="12" s="1"/>
  <c r="A7" i="12"/>
  <c r="A23" i="12" s="1"/>
  <c r="R23" i="12" s="1"/>
  <c r="A6" i="12"/>
  <c r="A22" i="12" s="1"/>
  <c r="A5" i="12"/>
  <c r="A21" i="12" s="1"/>
  <c r="A4" i="12"/>
  <c r="A20" i="12" s="1"/>
  <c r="N8" i="12"/>
  <c r="N7" i="12"/>
  <c r="N6" i="12"/>
  <c r="N5" i="12"/>
  <c r="O4" i="12"/>
  <c r="N4" i="12"/>
  <c r="W19" i="12"/>
  <c r="T19" i="12"/>
  <c r="R19" i="12"/>
  <c r="Z18" i="12"/>
  <c r="R18" i="12"/>
  <c r="H3" i="12"/>
  <c r="H18" i="12" s="1"/>
  <c r="G3" i="12"/>
  <c r="G18" i="12" s="1"/>
  <c r="F3" i="12"/>
  <c r="F18" i="12" s="1"/>
  <c r="E3" i="12"/>
  <c r="E18" i="12" s="1"/>
  <c r="D3" i="12"/>
  <c r="D18" i="12" s="1"/>
  <c r="C3" i="12"/>
  <c r="C18" i="12" s="1"/>
  <c r="B3" i="12"/>
  <c r="B18" i="12" s="1"/>
  <c r="A3" i="12"/>
  <c r="H2" i="12"/>
  <c r="H17" i="12" s="1"/>
  <c r="G2" i="12"/>
  <c r="G17" i="12" s="1"/>
  <c r="AM17" i="12" s="1"/>
  <c r="AW17" i="12" s="1"/>
  <c r="F2" i="12"/>
  <c r="F17" i="12" s="1"/>
  <c r="E2" i="12"/>
  <c r="E17" i="12" s="1"/>
  <c r="D2" i="12"/>
  <c r="D17" i="12" s="1"/>
  <c r="C2" i="12"/>
  <c r="C17" i="12" s="1"/>
  <c r="AI17" i="12" s="1"/>
  <c r="AS17" i="12" s="1"/>
  <c r="B2" i="12"/>
  <c r="B17" i="12" s="1"/>
  <c r="H19" i="10"/>
  <c r="Y19" i="10" s="1"/>
  <c r="H4" i="10"/>
  <c r="B19" i="10"/>
  <c r="B4" i="10"/>
  <c r="D19" i="10"/>
  <c r="U19" i="10" s="1"/>
  <c r="D4" i="10"/>
  <c r="E19" i="10"/>
  <c r="V19" i="10" s="1"/>
  <c r="E4" i="10"/>
  <c r="G19" i="10"/>
  <c r="X19" i="10" s="1"/>
  <c r="G4" i="10"/>
  <c r="B5" i="10"/>
  <c r="O5" i="10"/>
  <c r="D5" i="10"/>
  <c r="E5" i="10"/>
  <c r="G5" i="10"/>
  <c r="H5" i="10"/>
  <c r="B6" i="10"/>
  <c r="O6" i="10"/>
  <c r="B7" i="10"/>
  <c r="O7" i="10"/>
  <c r="D6" i="10"/>
  <c r="D7" i="10"/>
  <c r="E6" i="10"/>
  <c r="E7" i="10"/>
  <c r="G6" i="10"/>
  <c r="G7" i="10"/>
  <c r="H6" i="10"/>
  <c r="H7" i="10"/>
  <c r="A4" i="10"/>
  <c r="A20" i="10" s="1"/>
  <c r="AG20" i="10" s="1"/>
  <c r="AQ20" i="10" s="1"/>
  <c r="BA20" i="10" s="1"/>
  <c r="A5" i="10"/>
  <c r="A21" i="10" s="1"/>
  <c r="A6" i="10"/>
  <c r="A22" i="10" s="1"/>
  <c r="N22" i="10" s="1"/>
  <c r="A7" i="10"/>
  <c r="A23" i="10" s="1"/>
  <c r="A25" i="10"/>
  <c r="H3" i="10"/>
  <c r="H18" i="10" s="1"/>
  <c r="G3" i="10"/>
  <c r="G18" i="10" s="1"/>
  <c r="AM18" i="10" s="1"/>
  <c r="AW18" i="10" s="1"/>
  <c r="BG18" i="10" s="1"/>
  <c r="F3" i="10"/>
  <c r="F18" i="10" s="1"/>
  <c r="AL18" i="10" s="1"/>
  <c r="AV18" i="10" s="1"/>
  <c r="BF18" i="10" s="1"/>
  <c r="E3" i="10"/>
  <c r="E18" i="10" s="1"/>
  <c r="D3" i="10"/>
  <c r="D18" i="10" s="1"/>
  <c r="AJ18" i="10" s="1"/>
  <c r="AT18" i="10" s="1"/>
  <c r="BD18" i="10" s="1"/>
  <c r="C3" i="10"/>
  <c r="C18" i="10" s="1"/>
  <c r="AI18" i="10" s="1"/>
  <c r="AS18" i="10" s="1"/>
  <c r="BC18" i="10" s="1"/>
  <c r="B3" i="10"/>
  <c r="B18" i="10" s="1"/>
  <c r="AH18" i="10" s="1"/>
  <c r="AR18" i="10" s="1"/>
  <c r="BB18" i="10" s="1"/>
  <c r="H2" i="10"/>
  <c r="H17" i="10" s="1"/>
  <c r="Y17" i="10" s="1"/>
  <c r="G2" i="10"/>
  <c r="G17" i="10" s="1"/>
  <c r="X17" i="10" s="1"/>
  <c r="F2" i="10"/>
  <c r="F17" i="10" s="1"/>
  <c r="AL17" i="10" s="1"/>
  <c r="AV17" i="10" s="1"/>
  <c r="BF17" i="10" s="1"/>
  <c r="E2" i="10"/>
  <c r="E17" i="10" s="1"/>
  <c r="V17" i="10" s="1"/>
  <c r="D2" i="10"/>
  <c r="D17" i="10" s="1"/>
  <c r="AJ17" i="10" s="1"/>
  <c r="AT17" i="10" s="1"/>
  <c r="BD17" i="10" s="1"/>
  <c r="C2" i="10"/>
  <c r="C17" i="10" s="1"/>
  <c r="B2" i="10"/>
  <c r="B17" i="10" s="1"/>
  <c r="AH17" i="10" s="1"/>
  <c r="AR17" i="10" s="1"/>
  <c r="BB17" i="10" s="1"/>
  <c r="A3" i="10"/>
  <c r="N4" i="10"/>
  <c r="O4" i="10"/>
  <c r="N5" i="10"/>
  <c r="N6" i="10"/>
  <c r="N7" i="10"/>
  <c r="AQ19" i="10"/>
  <c r="BA19" i="10" s="1"/>
  <c r="AY18" i="10"/>
  <c r="BI18" i="10" s="1"/>
  <c r="AQ18" i="10"/>
  <c r="A24" i="10"/>
  <c r="R24" i="10" s="1"/>
  <c r="W19" i="10"/>
  <c r="T19" i="10"/>
  <c r="R19" i="10"/>
  <c r="Z18" i="10"/>
  <c r="R18" i="10"/>
  <c r="AS19" i="10"/>
  <c r="H20" i="1"/>
  <c r="H21" i="1"/>
  <c r="H22" i="1" s="1"/>
  <c r="H23" i="1" s="1"/>
  <c r="B20" i="1"/>
  <c r="B21" i="1" s="1"/>
  <c r="B22" i="1" s="1"/>
  <c r="D20" i="1"/>
  <c r="D21" i="1" s="1"/>
  <c r="E20" i="1"/>
  <c r="E21" i="1" s="1"/>
  <c r="G20" i="1"/>
  <c r="G21" i="1" s="1"/>
  <c r="G22" i="1" s="1"/>
  <c r="G23" i="1" s="1"/>
  <c r="I19" i="1"/>
  <c r="P19" i="1" s="1"/>
  <c r="A20" i="1"/>
  <c r="O20" i="1" s="1"/>
  <c r="A21" i="1"/>
  <c r="O21" i="1" s="1"/>
  <c r="A22" i="1"/>
  <c r="O22" i="1" s="1"/>
  <c r="A23" i="1"/>
  <c r="O23" i="1" s="1"/>
  <c r="A24" i="1"/>
  <c r="O24" i="1" s="1"/>
  <c r="O25" i="1"/>
  <c r="H18" i="1"/>
  <c r="V18" i="1" s="1"/>
  <c r="G18" i="1"/>
  <c r="U18" i="1" s="1"/>
  <c r="F18" i="1"/>
  <c r="T18" i="1" s="1"/>
  <c r="E18" i="1"/>
  <c r="S18" i="1" s="1"/>
  <c r="D18" i="1"/>
  <c r="R18" i="1" s="1"/>
  <c r="C18" i="1"/>
  <c r="Q18" i="1" s="1"/>
  <c r="H17" i="1"/>
  <c r="V17" i="1" s="1"/>
  <c r="G17" i="1"/>
  <c r="U17" i="1" s="1"/>
  <c r="F17" i="1"/>
  <c r="T17" i="1" s="1"/>
  <c r="E17" i="1"/>
  <c r="S17" i="1" s="1"/>
  <c r="D17" i="1"/>
  <c r="R17" i="1" s="1"/>
  <c r="C17" i="1"/>
  <c r="Q17" i="1" s="1"/>
  <c r="B18" i="1"/>
  <c r="P18" i="1" s="1"/>
  <c r="B17" i="1"/>
  <c r="P17" i="1" s="1"/>
  <c r="A20" i="3"/>
  <c r="Y19" i="7"/>
  <c r="AG18" i="7"/>
  <c r="Y18" i="7"/>
  <c r="H19" i="7"/>
  <c r="AF19" i="7" s="1"/>
  <c r="G19" i="7"/>
  <c r="AE19" i="7" s="1"/>
  <c r="E19" i="7"/>
  <c r="AC19" i="7" s="1"/>
  <c r="D19" i="7"/>
  <c r="AB19" i="7" s="1"/>
  <c r="B19" i="7"/>
  <c r="Z19" i="7" s="1"/>
  <c r="H8" i="7"/>
  <c r="G8" i="7"/>
  <c r="F8" i="7"/>
  <c r="E8" i="7"/>
  <c r="D8" i="7"/>
  <c r="C8" i="7"/>
  <c r="H7" i="7"/>
  <c r="G7" i="7"/>
  <c r="F7" i="7"/>
  <c r="E7" i="7"/>
  <c r="D7" i="7"/>
  <c r="C7" i="7"/>
  <c r="H6" i="7"/>
  <c r="G6" i="7"/>
  <c r="G22" i="7" s="1"/>
  <c r="F6" i="7"/>
  <c r="E6" i="7"/>
  <c r="E22" i="7" s="1"/>
  <c r="D6" i="7"/>
  <c r="D22" i="7" s="1"/>
  <c r="C6" i="7"/>
  <c r="H5" i="7"/>
  <c r="G5" i="7"/>
  <c r="F5" i="7"/>
  <c r="E5" i="7"/>
  <c r="D5" i="7"/>
  <c r="C5" i="7"/>
  <c r="H4" i="7"/>
  <c r="G4" i="7"/>
  <c r="F4" i="7"/>
  <c r="E4" i="7"/>
  <c r="D4" i="7"/>
  <c r="C4" i="7"/>
  <c r="B4" i="7"/>
  <c r="B5" i="7"/>
  <c r="B6" i="7"/>
  <c r="B22" i="7" s="1"/>
  <c r="B7" i="7"/>
  <c r="B8" i="7"/>
  <c r="A4" i="7"/>
  <c r="A20" i="7" s="1"/>
  <c r="O20" i="7" s="1"/>
  <c r="Y20" i="7" s="1"/>
  <c r="A5" i="7"/>
  <c r="A21" i="7" s="1"/>
  <c r="O21" i="7" s="1"/>
  <c r="Y21" i="7" s="1"/>
  <c r="A6" i="7"/>
  <c r="A22" i="7" s="1"/>
  <c r="O22" i="7" s="1"/>
  <c r="Y22" i="7" s="1"/>
  <c r="A7" i="7"/>
  <c r="A23" i="7" s="1"/>
  <c r="O23" i="7" s="1"/>
  <c r="Y23" i="7" s="1"/>
  <c r="A8" i="7"/>
  <c r="A24" i="7" s="1"/>
  <c r="O24" i="7" s="1"/>
  <c r="Y24" i="7" s="1"/>
  <c r="C2" i="7"/>
  <c r="C17" i="7" s="1"/>
  <c r="Q17" i="7" s="1"/>
  <c r="AA17" i="7" s="1"/>
  <c r="D2" i="7"/>
  <c r="D17" i="7" s="1"/>
  <c r="R17" i="7" s="1"/>
  <c r="AB17" i="7" s="1"/>
  <c r="E2" i="7"/>
  <c r="E17" i="7" s="1"/>
  <c r="S17" i="7" s="1"/>
  <c r="AC17" i="7" s="1"/>
  <c r="F2" i="7"/>
  <c r="F17" i="7" s="1"/>
  <c r="T17" i="7" s="1"/>
  <c r="AD17" i="7" s="1"/>
  <c r="G2" i="7"/>
  <c r="G17" i="7" s="1"/>
  <c r="U17" i="7" s="1"/>
  <c r="AE17" i="7" s="1"/>
  <c r="H2" i="7"/>
  <c r="H17" i="7" s="1"/>
  <c r="V17" i="7" s="1"/>
  <c r="AF17" i="7" s="1"/>
  <c r="C3" i="7"/>
  <c r="C18" i="7" s="1"/>
  <c r="Q18" i="7" s="1"/>
  <c r="AA18" i="7" s="1"/>
  <c r="D3" i="7"/>
  <c r="D18" i="7" s="1"/>
  <c r="R18" i="7" s="1"/>
  <c r="AB18" i="7" s="1"/>
  <c r="E3" i="7"/>
  <c r="E18" i="7" s="1"/>
  <c r="S18" i="7" s="1"/>
  <c r="AC18" i="7" s="1"/>
  <c r="F3" i="7"/>
  <c r="F18" i="7" s="1"/>
  <c r="T18" i="7" s="1"/>
  <c r="AD18" i="7" s="1"/>
  <c r="G3" i="7"/>
  <c r="G18" i="7" s="1"/>
  <c r="U18" i="7" s="1"/>
  <c r="AE18" i="7" s="1"/>
  <c r="H3" i="7"/>
  <c r="H18" i="7" s="1"/>
  <c r="V18" i="7" s="1"/>
  <c r="AF18" i="7" s="1"/>
  <c r="B3" i="7"/>
  <c r="B18" i="7" s="1"/>
  <c r="P18" i="7" s="1"/>
  <c r="Z18" i="7" s="1"/>
  <c r="B2" i="7"/>
  <c r="B17" i="7" s="1"/>
  <c r="P17" i="7" s="1"/>
  <c r="Z17" i="7" s="1"/>
  <c r="A3" i="7"/>
  <c r="H19" i="4"/>
  <c r="B19" i="4"/>
  <c r="D19" i="4"/>
  <c r="E19" i="4"/>
  <c r="G19" i="4"/>
  <c r="B4" i="4"/>
  <c r="B5" i="4"/>
  <c r="D4" i="4"/>
  <c r="D5" i="4"/>
  <c r="E4" i="4"/>
  <c r="E5" i="4"/>
  <c r="G4" i="4"/>
  <c r="G5" i="4"/>
  <c r="H4" i="4"/>
  <c r="H5" i="4"/>
  <c r="B6" i="4"/>
  <c r="B7" i="4"/>
  <c r="R19" i="4"/>
  <c r="AB19" i="4" s="1"/>
  <c r="AL19" i="4" s="1"/>
  <c r="D6" i="4"/>
  <c r="D7" i="4"/>
  <c r="S19" i="4"/>
  <c r="AC19" i="4" s="1"/>
  <c r="AM19" i="4" s="1"/>
  <c r="E6" i="4"/>
  <c r="E7" i="4"/>
  <c r="U19" i="4"/>
  <c r="AE19" i="4" s="1"/>
  <c r="AO19" i="4" s="1"/>
  <c r="G6" i="4"/>
  <c r="G7" i="4"/>
  <c r="H6" i="4"/>
  <c r="H7" i="4"/>
  <c r="H8" i="4"/>
  <c r="G8" i="4"/>
  <c r="E8" i="4"/>
  <c r="D8" i="4"/>
  <c r="B8" i="4"/>
  <c r="F4" i="4"/>
  <c r="F5" i="4"/>
  <c r="F6" i="4"/>
  <c r="F7" i="4"/>
  <c r="F8" i="4"/>
  <c r="Y19" i="4"/>
  <c r="AI19" i="4" s="1"/>
  <c r="Y18" i="4"/>
  <c r="AG18" i="4"/>
  <c r="AQ18" i="4" s="1"/>
  <c r="C4" i="4"/>
  <c r="C5" i="4"/>
  <c r="C6" i="4"/>
  <c r="C7" i="4"/>
  <c r="C8" i="4"/>
  <c r="A4" i="4"/>
  <c r="A20" i="4" s="1"/>
  <c r="A5" i="4"/>
  <c r="A21" i="4" s="1"/>
  <c r="AI21" i="4" s="1"/>
  <c r="A6" i="4"/>
  <c r="A22" i="4" s="1"/>
  <c r="A7" i="4"/>
  <c r="A23" i="4" s="1"/>
  <c r="A8" i="4"/>
  <c r="A24" i="4" s="1"/>
  <c r="H3" i="4"/>
  <c r="H18" i="4" s="1"/>
  <c r="V18" i="4" s="1"/>
  <c r="AF18" i="4" s="1"/>
  <c r="AP18" i="4" s="1"/>
  <c r="G3" i="4"/>
  <c r="G18" i="4" s="1"/>
  <c r="U18" i="4" s="1"/>
  <c r="AE18" i="4" s="1"/>
  <c r="AO18" i="4" s="1"/>
  <c r="F3" i="4"/>
  <c r="F18" i="4" s="1"/>
  <c r="T18" i="4" s="1"/>
  <c r="AD18" i="4" s="1"/>
  <c r="AN18" i="4" s="1"/>
  <c r="E3" i="4"/>
  <c r="E18" i="4" s="1"/>
  <c r="S18" i="4" s="1"/>
  <c r="AC18" i="4" s="1"/>
  <c r="AM18" i="4" s="1"/>
  <c r="D3" i="4"/>
  <c r="D18" i="4" s="1"/>
  <c r="R18" i="4" s="1"/>
  <c r="AB18" i="4" s="1"/>
  <c r="AL18" i="4" s="1"/>
  <c r="C3" i="4"/>
  <c r="C18" i="4" s="1"/>
  <c r="Q18" i="4" s="1"/>
  <c r="AA18" i="4" s="1"/>
  <c r="AK18" i="4" s="1"/>
  <c r="H2" i="4"/>
  <c r="H17" i="4" s="1"/>
  <c r="V17" i="4" s="1"/>
  <c r="AF17" i="4" s="1"/>
  <c r="AP17" i="4" s="1"/>
  <c r="G2" i="4"/>
  <c r="G17" i="4" s="1"/>
  <c r="U17" i="4" s="1"/>
  <c r="AE17" i="4" s="1"/>
  <c r="AO17" i="4" s="1"/>
  <c r="F2" i="4"/>
  <c r="F17" i="4" s="1"/>
  <c r="T17" i="4" s="1"/>
  <c r="AD17" i="4" s="1"/>
  <c r="AN17" i="4" s="1"/>
  <c r="E2" i="4"/>
  <c r="E17" i="4" s="1"/>
  <c r="S17" i="4" s="1"/>
  <c r="AC17" i="4" s="1"/>
  <c r="AM17" i="4" s="1"/>
  <c r="D2" i="4"/>
  <c r="D17" i="4" s="1"/>
  <c r="R17" i="4" s="1"/>
  <c r="AB17" i="4" s="1"/>
  <c r="AL17" i="4" s="1"/>
  <c r="C2" i="4"/>
  <c r="C17" i="4" s="1"/>
  <c r="Q17" i="4" s="1"/>
  <c r="AA17" i="4" s="1"/>
  <c r="AK17" i="4" s="1"/>
  <c r="B3" i="4"/>
  <c r="B18" i="4" s="1"/>
  <c r="P18" i="4" s="1"/>
  <c r="Z18" i="4" s="1"/>
  <c r="AJ18" i="4" s="1"/>
  <c r="B2" i="4"/>
  <c r="B17" i="4" s="1"/>
  <c r="P17" i="4" s="1"/>
  <c r="Z17" i="4" s="1"/>
  <c r="AJ17" i="4" s="1"/>
  <c r="A3" i="4"/>
  <c r="AD19" i="4"/>
  <c r="AA19" i="4"/>
  <c r="H20" i="9" l="1"/>
  <c r="X17" i="9"/>
  <c r="AM17" i="9"/>
  <c r="H20" i="7"/>
  <c r="AF20" i="7" s="1"/>
  <c r="H21" i="7" s="1"/>
  <c r="N21" i="9"/>
  <c r="AG25" i="10"/>
  <c r="AQ25" i="10" s="1"/>
  <c r="BA25" i="10" s="1"/>
  <c r="R25" i="10"/>
  <c r="R25" i="9"/>
  <c r="AG25" i="9"/>
  <c r="I19" i="9"/>
  <c r="Z19" i="9" s="1"/>
  <c r="AO19" i="9" s="1"/>
  <c r="R21" i="9"/>
  <c r="B20" i="9"/>
  <c r="AK18" i="10"/>
  <c r="AU18" i="10" s="1"/>
  <c r="BE18" i="10" s="1"/>
  <c r="V18" i="10"/>
  <c r="G20" i="10"/>
  <c r="AI18" i="9"/>
  <c r="T18" i="9"/>
  <c r="E20" i="9"/>
  <c r="H20" i="4"/>
  <c r="AP20" i="4" s="1"/>
  <c r="H21" i="4" s="1"/>
  <c r="G20" i="7"/>
  <c r="AE20" i="7" s="1"/>
  <c r="G21" i="7" s="1"/>
  <c r="X18" i="10"/>
  <c r="AI17" i="9"/>
  <c r="W19" i="1"/>
  <c r="X18" i="9"/>
  <c r="V19" i="1"/>
  <c r="AG23" i="10"/>
  <c r="AQ23" i="10" s="1"/>
  <c r="BA23" i="10" s="1"/>
  <c r="N23" i="10"/>
  <c r="R23" i="10"/>
  <c r="D20" i="4"/>
  <c r="AL20" i="4" s="1"/>
  <c r="D21" i="4" s="1"/>
  <c r="I19" i="4"/>
  <c r="W19" i="4" s="1"/>
  <c r="AG19" i="4" s="1"/>
  <c r="AQ19" i="4" s="1"/>
  <c r="B20" i="7"/>
  <c r="Z20" i="7" s="1"/>
  <c r="AN17" i="10"/>
  <c r="AX17" i="10" s="1"/>
  <c r="BH17" i="10" s="1"/>
  <c r="B20" i="10"/>
  <c r="AG20" i="9"/>
  <c r="N24" i="9"/>
  <c r="AG24" i="9"/>
  <c r="U19" i="9"/>
  <c r="R22" i="10"/>
  <c r="T18" i="10"/>
  <c r="S18" i="12"/>
  <c r="AH18" i="12"/>
  <c r="AR18" i="12" s="1"/>
  <c r="AJ18" i="12"/>
  <c r="AT18" i="12" s="1"/>
  <c r="U18" i="12"/>
  <c r="AN18" i="9"/>
  <c r="Y18" i="9"/>
  <c r="AJ18" i="9"/>
  <c r="U18" i="9"/>
  <c r="E20" i="4"/>
  <c r="AM20" i="4" s="1"/>
  <c r="E21" i="4" s="1"/>
  <c r="AK17" i="10"/>
  <c r="AU17" i="10" s="1"/>
  <c r="BE17" i="10" s="1"/>
  <c r="G20" i="12"/>
  <c r="R23" i="9"/>
  <c r="D20" i="9"/>
  <c r="B20" i="4"/>
  <c r="AJ20" i="4" s="1"/>
  <c r="B21" i="4" s="1"/>
  <c r="S18" i="10"/>
  <c r="I19" i="10"/>
  <c r="Z19" i="10" s="1"/>
  <c r="AO19" i="10" s="1"/>
  <c r="AY19" i="10" s="1"/>
  <c r="BI19" i="10" s="1"/>
  <c r="H20" i="10"/>
  <c r="AG23" i="9"/>
  <c r="G20" i="9"/>
  <c r="AG22" i="10"/>
  <c r="AQ22" i="10" s="1"/>
  <c r="BA22" i="10" s="1"/>
  <c r="W18" i="10"/>
  <c r="R20" i="9"/>
  <c r="O22" i="4"/>
  <c r="Y22" i="4" s="1"/>
  <c r="AI22" i="4"/>
  <c r="AN18" i="10"/>
  <c r="AX18" i="10" s="1"/>
  <c r="BH18" i="10" s="1"/>
  <c r="Y18" i="10"/>
  <c r="N25" i="10"/>
  <c r="AG21" i="10"/>
  <c r="AQ21" i="10" s="1"/>
  <c r="BA21" i="10" s="1"/>
  <c r="N21" i="10"/>
  <c r="R21" i="10"/>
  <c r="AH18" i="9"/>
  <c r="S18" i="9"/>
  <c r="AL18" i="9"/>
  <c r="W18" i="9"/>
  <c r="T17" i="10"/>
  <c r="AI17" i="10"/>
  <c r="AS17" i="10" s="1"/>
  <c r="BC17" i="10" s="1"/>
  <c r="I19" i="7"/>
  <c r="S19" i="7" s="1"/>
  <c r="D20" i="7"/>
  <c r="AB20" i="7" s="1"/>
  <c r="D21" i="7" s="1"/>
  <c r="N24" i="10"/>
  <c r="U17" i="10"/>
  <c r="V18" i="9"/>
  <c r="G20" i="4"/>
  <c r="E20" i="7"/>
  <c r="AC20" i="7" s="1"/>
  <c r="E21" i="7" s="1"/>
  <c r="AM17" i="10"/>
  <c r="AW17" i="10" s="1"/>
  <c r="BG17" i="10" s="1"/>
  <c r="E20" i="10"/>
  <c r="D20" i="10"/>
  <c r="AG23" i="12"/>
  <c r="AQ23" i="12" s="1"/>
  <c r="N23" i="12"/>
  <c r="N22" i="9"/>
  <c r="U18" i="10"/>
  <c r="H20" i="12"/>
  <c r="B20" i="12"/>
  <c r="N25" i="9"/>
  <c r="AG22" i="9"/>
  <c r="R21" i="12"/>
  <c r="N21" i="12"/>
  <c r="AG21" i="12"/>
  <c r="AQ21" i="12" s="1"/>
  <c r="D20" i="12"/>
  <c r="X17" i="12"/>
  <c r="X19" i="12"/>
  <c r="I19" i="12"/>
  <c r="Z19" i="12" s="1"/>
  <c r="AN19" i="12" s="1"/>
  <c r="AX19" i="12" s="1"/>
  <c r="E20" i="12"/>
  <c r="T17" i="12"/>
  <c r="U19" i="12"/>
  <c r="AI20" i="4"/>
  <c r="O20" i="4"/>
  <c r="Y20" i="4" s="1"/>
  <c r="O23" i="4"/>
  <c r="Y23" i="4" s="1"/>
  <c r="AI23" i="4"/>
  <c r="AI24" i="4"/>
  <c r="O24" i="4"/>
  <c r="Y24" i="4" s="1"/>
  <c r="AG19" i="7"/>
  <c r="E22" i="1"/>
  <c r="H24" i="1"/>
  <c r="H25" i="1" s="1"/>
  <c r="H26" i="1" s="1"/>
  <c r="H27" i="1" s="1"/>
  <c r="O21" i="4"/>
  <c r="Y21" i="4" s="1"/>
  <c r="G24" i="1"/>
  <c r="G25" i="1" s="1"/>
  <c r="G26" i="1" s="1"/>
  <c r="G27" i="1" s="1"/>
  <c r="B23" i="1"/>
  <c r="I21" i="1"/>
  <c r="R21" i="1" s="1"/>
  <c r="I20" i="1"/>
  <c r="S20" i="1" s="1"/>
  <c r="D22" i="1"/>
  <c r="N20" i="10"/>
  <c r="AG24" i="10"/>
  <c r="AQ24" i="10" s="1"/>
  <c r="BA24" i="10" s="1"/>
  <c r="AJ17" i="12"/>
  <c r="AT17" i="12" s="1"/>
  <c r="U17" i="12"/>
  <c r="AK18" i="12"/>
  <c r="AU18" i="12" s="1"/>
  <c r="V18" i="12"/>
  <c r="R20" i="12"/>
  <c r="N20" i="12"/>
  <c r="AG20" i="12"/>
  <c r="AQ20" i="12" s="1"/>
  <c r="AH17" i="12"/>
  <c r="AR17" i="12" s="1"/>
  <c r="S17" i="12"/>
  <c r="V17" i="12"/>
  <c r="AK17" i="12"/>
  <c r="AU17" i="12" s="1"/>
  <c r="Y17" i="12"/>
  <c r="AN17" i="12"/>
  <c r="AX17" i="12" s="1"/>
  <c r="T18" i="12"/>
  <c r="AI18" i="12"/>
  <c r="AS18" i="12" s="1"/>
  <c r="W18" i="12"/>
  <c r="AL18" i="12"/>
  <c r="AV18" i="12" s="1"/>
  <c r="S17" i="10"/>
  <c r="W17" i="12"/>
  <c r="AL17" i="12"/>
  <c r="AV17" i="12" s="1"/>
  <c r="AM18" i="12"/>
  <c r="AW18" i="12" s="1"/>
  <c r="X18" i="12"/>
  <c r="R24" i="12"/>
  <c r="AG24" i="12"/>
  <c r="AQ24" i="12" s="1"/>
  <c r="N24" i="12"/>
  <c r="R20" i="10"/>
  <c r="W17" i="10"/>
  <c r="S19" i="10"/>
  <c r="Y18" i="12"/>
  <c r="AN18" i="12"/>
  <c r="AX18" i="12" s="1"/>
  <c r="R22" i="12"/>
  <c r="AG22" i="12"/>
  <c r="AQ22" i="12" s="1"/>
  <c r="N22" i="12"/>
  <c r="AH17" i="9"/>
  <c r="V17" i="9"/>
  <c r="U17" i="9"/>
  <c r="AL17" i="9"/>
  <c r="Y17" i="9"/>
  <c r="I22" i="1" l="1"/>
  <c r="V22" i="1" s="1"/>
  <c r="AK19" i="9"/>
  <c r="AN19" i="10"/>
  <c r="AX19" i="10" s="1"/>
  <c r="BH19" i="10" s="1"/>
  <c r="I20" i="7"/>
  <c r="P20" i="7" s="1"/>
  <c r="H30" i="1"/>
  <c r="G30" i="1"/>
  <c r="AJ19" i="9"/>
  <c r="AN19" i="9"/>
  <c r="AM19" i="9"/>
  <c r="V19" i="4"/>
  <c r="AF19" i="4" s="1"/>
  <c r="AP19" i="4" s="1"/>
  <c r="P19" i="4"/>
  <c r="Z19" i="4" s="1"/>
  <c r="AJ19" i="4" s="1"/>
  <c r="I20" i="9"/>
  <c r="O20" i="9" s="1"/>
  <c r="AH19" i="10"/>
  <c r="AR19" i="10" s="1"/>
  <c r="BB19" i="10" s="1"/>
  <c r="AH19" i="9"/>
  <c r="I20" i="10"/>
  <c r="O20" i="10" s="1"/>
  <c r="I20" i="4"/>
  <c r="S20" i="4" s="1"/>
  <c r="AH19" i="7"/>
  <c r="AJ19" i="10"/>
  <c r="AT19" i="10" s="1"/>
  <c r="BD19" i="10" s="1"/>
  <c r="AM19" i="10"/>
  <c r="AW19" i="10" s="1"/>
  <c r="BG19" i="10" s="1"/>
  <c r="AJ19" i="12"/>
  <c r="AT19" i="12" s="1"/>
  <c r="I20" i="12"/>
  <c r="O20" i="12" s="1"/>
  <c r="AK19" i="10"/>
  <c r="AU19" i="10" s="1"/>
  <c r="BE19" i="10" s="1"/>
  <c r="AO20" i="4"/>
  <c r="G21" i="4" s="1"/>
  <c r="I21" i="4" s="1"/>
  <c r="U19" i="7"/>
  <c r="W19" i="7"/>
  <c r="R19" i="7"/>
  <c r="P19" i="7"/>
  <c r="V19" i="7"/>
  <c r="AH19" i="12"/>
  <c r="AK19" i="12"/>
  <c r="AU19" i="12" s="1"/>
  <c r="AM19" i="12"/>
  <c r="AW19" i="12" s="1"/>
  <c r="V20" i="1"/>
  <c r="J20" i="1"/>
  <c r="K20" i="1" s="1"/>
  <c r="L20" i="1" s="1"/>
  <c r="P20" i="1"/>
  <c r="U20" i="1"/>
  <c r="V21" i="1"/>
  <c r="J21" i="1"/>
  <c r="P21" i="1"/>
  <c r="E23" i="1"/>
  <c r="S22" i="1"/>
  <c r="U22" i="1"/>
  <c r="J22" i="1"/>
  <c r="S21" i="1"/>
  <c r="S20" i="7"/>
  <c r="P22" i="1"/>
  <c r="R20" i="1"/>
  <c r="D23" i="1"/>
  <c r="R22" i="1"/>
  <c r="U21" i="1"/>
  <c r="B24" i="1"/>
  <c r="B25" i="1" s="1"/>
  <c r="B26" i="1" s="1"/>
  <c r="B27" i="1" s="1"/>
  <c r="B21" i="7"/>
  <c r="AG20" i="7"/>
  <c r="AH20" i="7" s="1"/>
  <c r="V20" i="7" l="1"/>
  <c r="U20" i="7"/>
  <c r="R20" i="7"/>
  <c r="J20" i="7"/>
  <c r="K20" i="7" s="1"/>
  <c r="L20" i="7" s="1"/>
  <c r="B30" i="1"/>
  <c r="J20" i="9"/>
  <c r="K20" i="9" s="1"/>
  <c r="L20" i="9" s="1"/>
  <c r="R20" i="4"/>
  <c r="Z20" i="4"/>
  <c r="J20" i="10"/>
  <c r="K20" i="10" s="1"/>
  <c r="L20" i="10" s="1"/>
  <c r="AC20" i="4"/>
  <c r="AQ20" i="4"/>
  <c r="AR20" i="4" s="1"/>
  <c r="I23" i="1"/>
  <c r="J23" i="1" s="1"/>
  <c r="K23" i="1" s="1"/>
  <c r="L23" i="1" s="1"/>
  <c r="P20" i="4"/>
  <c r="AG20" i="4"/>
  <c r="J20" i="4"/>
  <c r="K20" i="4" s="1"/>
  <c r="L20" i="4" s="1"/>
  <c r="AE20" i="4"/>
  <c r="AB20" i="4"/>
  <c r="V20" i="4"/>
  <c r="U20" i="4"/>
  <c r="AF20" i="4"/>
  <c r="J20" i="12"/>
  <c r="K20" i="12" s="1"/>
  <c r="L20" i="12" s="1"/>
  <c r="W20" i="7"/>
  <c r="K21" i="1"/>
  <c r="I34" i="1"/>
  <c r="C10" i="8" s="1"/>
  <c r="W22" i="1"/>
  <c r="W21" i="1"/>
  <c r="W20" i="1"/>
  <c r="AR19" i="12"/>
  <c r="AY19" i="12" s="1"/>
  <c r="AO19" i="12"/>
  <c r="K22" i="1"/>
  <c r="AQ21" i="4"/>
  <c r="J21" i="4"/>
  <c r="AC21" i="4"/>
  <c r="Z21" i="4"/>
  <c r="S21" i="4"/>
  <c r="AG21" i="4"/>
  <c r="P21" i="4"/>
  <c r="U21" i="4"/>
  <c r="R21" i="4"/>
  <c r="AE21" i="4"/>
  <c r="AB21" i="4"/>
  <c r="X20" i="12"/>
  <c r="O21" i="12"/>
  <c r="O22" i="12" s="1"/>
  <c r="O23" i="12" s="1"/>
  <c r="O24" i="12" s="1"/>
  <c r="V20" i="12"/>
  <c r="Y20" i="12"/>
  <c r="S20" i="12"/>
  <c r="U20" i="12"/>
  <c r="AF21" i="4"/>
  <c r="I21" i="7"/>
  <c r="P21" i="7" s="1"/>
  <c r="D24" i="1"/>
  <c r="D25" i="1" s="1"/>
  <c r="U20" i="9"/>
  <c r="O21" i="9"/>
  <c r="O22" i="9" s="1"/>
  <c r="O23" i="9" s="1"/>
  <c r="O24" i="9" s="1"/>
  <c r="O25" i="9" s="1"/>
  <c r="O26" i="9" s="1"/>
  <c r="O27" i="9" s="1"/>
  <c r="V20" i="9"/>
  <c r="X20" i="9"/>
  <c r="G21" i="9" s="1"/>
  <c r="S20" i="9"/>
  <c r="Y20" i="9"/>
  <c r="V21" i="4"/>
  <c r="O21" i="10"/>
  <c r="O22" i="10" s="1"/>
  <c r="O23" i="10" s="1"/>
  <c r="O24" i="10" s="1"/>
  <c r="O25" i="10" s="1"/>
  <c r="X20" i="10"/>
  <c r="V20" i="10"/>
  <c r="S20" i="10"/>
  <c r="U20" i="10"/>
  <c r="Y20" i="10"/>
  <c r="E24" i="1"/>
  <c r="E25" i="1" s="1"/>
  <c r="E26" i="1" s="1"/>
  <c r="E27" i="1" s="1"/>
  <c r="P23" i="1" l="1"/>
  <c r="V23" i="1"/>
  <c r="U23" i="1"/>
  <c r="S23" i="1"/>
  <c r="R23" i="1"/>
  <c r="E30" i="1"/>
  <c r="O31" i="9"/>
  <c r="W20" i="4"/>
  <c r="D26" i="1"/>
  <c r="I25" i="1"/>
  <c r="O25" i="12"/>
  <c r="O26" i="12" s="1"/>
  <c r="O27" i="12" s="1"/>
  <c r="O26" i="10"/>
  <c r="O27" i="10" s="1"/>
  <c r="W21" i="4"/>
  <c r="L21" i="1"/>
  <c r="I35" i="1"/>
  <c r="C11" i="8" s="1"/>
  <c r="H21" i="9"/>
  <c r="Y21" i="9" s="1"/>
  <c r="AT20" i="12"/>
  <c r="D21" i="12" s="1"/>
  <c r="U21" i="12" s="1"/>
  <c r="BD20" i="10"/>
  <c r="D21" i="10" s="1"/>
  <c r="BG20" i="10"/>
  <c r="G21" i="10" s="1"/>
  <c r="X21" i="9"/>
  <c r="G22" i="9" s="1"/>
  <c r="Z20" i="12"/>
  <c r="AH20" i="12" s="1"/>
  <c r="AR20" i="12"/>
  <c r="B21" i="12" s="1"/>
  <c r="L22" i="1"/>
  <c r="BE20" i="10"/>
  <c r="E21" i="10" s="1"/>
  <c r="AU20" i="12"/>
  <c r="E21" i="12" s="1"/>
  <c r="V21" i="12" s="1"/>
  <c r="K21" i="4"/>
  <c r="I34" i="4"/>
  <c r="B10" i="8" s="1"/>
  <c r="BH20" i="10"/>
  <c r="H21" i="10" s="1"/>
  <c r="E21" i="9"/>
  <c r="V21" i="9" s="1"/>
  <c r="I24" i="1"/>
  <c r="R24" i="1" s="1"/>
  <c r="AL21" i="4"/>
  <c r="D22" i="4" s="1"/>
  <c r="AO21" i="4"/>
  <c r="G22" i="4" s="1"/>
  <c r="AM21" i="4"/>
  <c r="E22" i="4" s="1"/>
  <c r="AP21" i="4"/>
  <c r="H22" i="4" s="1"/>
  <c r="AJ21" i="4"/>
  <c r="B22" i="4" s="1"/>
  <c r="BB20" i="10"/>
  <c r="B21" i="10" s="1"/>
  <c r="Z20" i="10"/>
  <c r="AJ20" i="10" s="1"/>
  <c r="B21" i="9"/>
  <c r="Z20" i="9"/>
  <c r="AH20" i="9" s="1"/>
  <c r="D21" i="9"/>
  <c r="U21" i="9" s="1"/>
  <c r="V21" i="7"/>
  <c r="U21" i="7"/>
  <c r="S21" i="7"/>
  <c r="AF21" i="7"/>
  <c r="J21" i="7"/>
  <c r="R21" i="7"/>
  <c r="AX20" i="12"/>
  <c r="H21" i="12" s="1"/>
  <c r="Y21" i="12" s="1"/>
  <c r="AW20" i="12"/>
  <c r="G21" i="12" s="1"/>
  <c r="X21" i="12" s="1"/>
  <c r="W23" i="1" l="1"/>
  <c r="J25" i="1"/>
  <c r="K25" i="1" s="1"/>
  <c r="L25" i="1" s="1"/>
  <c r="O30" i="12"/>
  <c r="O31" i="12"/>
  <c r="I36" i="12" s="1"/>
  <c r="O30" i="10"/>
  <c r="O31" i="10"/>
  <c r="I36" i="10" s="1"/>
  <c r="AM20" i="12"/>
  <c r="AN20" i="12"/>
  <c r="AK20" i="12"/>
  <c r="D27" i="1"/>
  <c r="I26" i="1"/>
  <c r="J26" i="1" s="1"/>
  <c r="K26" i="1" s="1"/>
  <c r="L26" i="1" s="1"/>
  <c r="P25" i="1"/>
  <c r="S24" i="1"/>
  <c r="AT20" i="10"/>
  <c r="W21" i="7"/>
  <c r="AK20" i="10"/>
  <c r="AN20" i="10"/>
  <c r="X21" i="10"/>
  <c r="AH20" i="10"/>
  <c r="AR21" i="4"/>
  <c r="Y21" i="10"/>
  <c r="AW20" i="10"/>
  <c r="AR20" i="10"/>
  <c r="V21" i="10"/>
  <c r="U21" i="10"/>
  <c r="H10" i="8"/>
  <c r="AP22" i="4"/>
  <c r="H23" i="4" s="1"/>
  <c r="H22" i="7"/>
  <c r="AG21" i="7"/>
  <c r="AH21" i="7" s="1"/>
  <c r="AD20" i="9"/>
  <c r="AA20" i="9"/>
  <c r="V25" i="1"/>
  <c r="U25" i="1"/>
  <c r="AN20" i="9"/>
  <c r="S25" i="1"/>
  <c r="AJ20" i="9"/>
  <c r="S21" i="9"/>
  <c r="I21" i="9"/>
  <c r="I21" i="10"/>
  <c r="S21" i="10"/>
  <c r="AO22" i="4"/>
  <c r="G23" i="4" s="1"/>
  <c r="AK20" i="9"/>
  <c r="AX20" i="10"/>
  <c r="S21" i="12"/>
  <c r="I21" i="12"/>
  <c r="J21" i="12" s="1"/>
  <c r="K21" i="12" s="1"/>
  <c r="L21" i="12" s="1"/>
  <c r="X22" i="9"/>
  <c r="G23" i="9" s="1"/>
  <c r="H22" i="9"/>
  <c r="Y22" i="9" s="1"/>
  <c r="I34" i="7"/>
  <c r="D10" i="8" s="1"/>
  <c r="G10" i="8" s="1"/>
  <c r="K21" i="7"/>
  <c r="AM22" i="4"/>
  <c r="E23" i="4" s="1"/>
  <c r="J24" i="1"/>
  <c r="K24" i="1" s="1"/>
  <c r="L24" i="1" s="1"/>
  <c r="U24" i="1"/>
  <c r="V24" i="1"/>
  <c r="P24" i="1"/>
  <c r="D22" i="9"/>
  <c r="U22" i="9" s="1"/>
  <c r="AY20" i="10"/>
  <c r="BJ20" i="10"/>
  <c r="AA20" i="10"/>
  <c r="AB20" i="10" s="1"/>
  <c r="AC20" i="10" s="1"/>
  <c r="AD20" i="10"/>
  <c r="BI20" i="10"/>
  <c r="AJ22" i="4"/>
  <c r="B23" i="4" s="1"/>
  <c r="I22" i="4"/>
  <c r="AC22" i="4" s="1"/>
  <c r="AL22" i="4"/>
  <c r="D23" i="4" s="1"/>
  <c r="E22" i="9"/>
  <c r="V22" i="9" s="1"/>
  <c r="AU20" i="10"/>
  <c r="AZ20" i="12"/>
  <c r="AY20" i="12"/>
  <c r="AA20" i="12"/>
  <c r="AB20" i="12" s="1"/>
  <c r="AC20" i="12" s="1"/>
  <c r="AD20" i="12"/>
  <c r="R25" i="1"/>
  <c r="AM20" i="10"/>
  <c r="AJ20" i="12"/>
  <c r="AM20" i="9"/>
  <c r="L21" i="4"/>
  <c r="I35" i="4"/>
  <c r="B11" i="8" s="1"/>
  <c r="I27" i="1" l="1"/>
  <c r="AO20" i="12"/>
  <c r="D25" i="8"/>
  <c r="I39" i="12"/>
  <c r="B25" i="8"/>
  <c r="I39" i="10"/>
  <c r="AB20" i="9"/>
  <c r="AC20" i="9" s="1"/>
  <c r="J27" i="1"/>
  <c r="K27" i="1" s="1"/>
  <c r="L27" i="1" s="1"/>
  <c r="V26" i="1"/>
  <c r="U26" i="1"/>
  <c r="P26" i="1"/>
  <c r="R26" i="1"/>
  <c r="S26" i="1"/>
  <c r="Z22" i="4"/>
  <c r="U22" i="4"/>
  <c r="W25" i="1"/>
  <c r="AB22" i="4"/>
  <c r="R22" i="4"/>
  <c r="F10" i="8"/>
  <c r="W24" i="1"/>
  <c r="AE22" i="4"/>
  <c r="AF22" i="4"/>
  <c r="P22" i="4"/>
  <c r="AO20" i="9"/>
  <c r="AO20" i="10"/>
  <c r="H11" i="8"/>
  <c r="E23" i="9"/>
  <c r="V23" i="9" s="1"/>
  <c r="Z21" i="9"/>
  <c r="AH21" i="9" s="1"/>
  <c r="B22" i="9"/>
  <c r="I23" i="4"/>
  <c r="U23" i="4" s="1"/>
  <c r="H23" i="9"/>
  <c r="Y23" i="9" s="1"/>
  <c r="L21" i="7"/>
  <c r="I35" i="7"/>
  <c r="D11" i="8" s="1"/>
  <c r="G11" i="8" s="1"/>
  <c r="J22" i="4"/>
  <c r="K22" i="4" s="1"/>
  <c r="L22" i="4" s="1"/>
  <c r="AG22" i="4"/>
  <c r="AQ22" i="4"/>
  <c r="AR22" i="4" s="1"/>
  <c r="D23" i="9"/>
  <c r="U23" i="9" s="1"/>
  <c r="S22" i="4"/>
  <c r="X23" i="9"/>
  <c r="G24" i="9" s="1"/>
  <c r="Z21" i="10"/>
  <c r="AH21" i="10" s="1"/>
  <c r="I22" i="7"/>
  <c r="V22" i="7" s="1"/>
  <c r="V22" i="4"/>
  <c r="Z21" i="12"/>
  <c r="J21" i="10"/>
  <c r="K21" i="10" s="1"/>
  <c r="L21" i="10" s="1"/>
  <c r="J21" i="9"/>
  <c r="F25" i="8" l="1"/>
  <c r="D30" i="1"/>
  <c r="S27" i="1"/>
  <c r="P27" i="1"/>
  <c r="R27" i="1"/>
  <c r="U27" i="1"/>
  <c r="V27" i="1"/>
  <c r="W26" i="1"/>
  <c r="R23" i="4"/>
  <c r="S23" i="4"/>
  <c r="V23" i="4"/>
  <c r="AB23" i="4"/>
  <c r="AC23" i="4"/>
  <c r="Z23" i="4"/>
  <c r="P23" i="4"/>
  <c r="W22" i="4"/>
  <c r="AE23" i="4"/>
  <c r="I30" i="1"/>
  <c r="F11" i="8"/>
  <c r="K21" i="9"/>
  <c r="I34" i="9"/>
  <c r="C23" i="8" s="1"/>
  <c r="AA21" i="12"/>
  <c r="AX21" i="12"/>
  <c r="H22" i="12" s="1"/>
  <c r="AD21" i="12"/>
  <c r="AY21" i="12"/>
  <c r="AJ21" i="12"/>
  <c r="AN21" i="12"/>
  <c r="AM21" i="12"/>
  <c r="AK21" i="12"/>
  <c r="X24" i="9"/>
  <c r="G25" i="9" s="1"/>
  <c r="X25" i="9" s="1"/>
  <c r="AY21" i="10"/>
  <c r="AA21" i="10"/>
  <c r="AD21" i="10"/>
  <c r="BI21" i="10"/>
  <c r="BE21" i="10"/>
  <c r="E22" i="10" s="1"/>
  <c r="V22" i="10" s="1"/>
  <c r="BH21" i="10"/>
  <c r="H22" i="10" s="1"/>
  <c r="Y22" i="10" s="1"/>
  <c r="BG21" i="10"/>
  <c r="G22" i="10" s="1"/>
  <c r="X22" i="10" s="1"/>
  <c r="BD21" i="10"/>
  <c r="D22" i="10" s="1"/>
  <c r="U22" i="10" s="1"/>
  <c r="BB21" i="10"/>
  <c r="B22" i="10" s="1"/>
  <c r="AU21" i="10"/>
  <c r="AK21" i="10"/>
  <c r="AX21" i="10"/>
  <c r="AJ21" i="10"/>
  <c r="AW21" i="10"/>
  <c r="AN21" i="10"/>
  <c r="AT21" i="10"/>
  <c r="AM21" i="10"/>
  <c r="H24" i="9"/>
  <c r="Y24" i="9" s="1"/>
  <c r="AQ23" i="4"/>
  <c r="AG23" i="4"/>
  <c r="J23" i="4"/>
  <c r="K23" i="4" s="1"/>
  <c r="L23" i="4" s="1"/>
  <c r="S22" i="9"/>
  <c r="I22" i="9"/>
  <c r="D24" i="9"/>
  <c r="U24" i="9" s="1"/>
  <c r="E24" i="9"/>
  <c r="V24" i="9" s="1"/>
  <c r="J22" i="7"/>
  <c r="K22" i="7" s="1"/>
  <c r="L22" i="7" s="1"/>
  <c r="AC22" i="7"/>
  <c r="E23" i="7" s="1"/>
  <c r="R22" i="7"/>
  <c r="AE22" i="7"/>
  <c r="G23" i="7" s="1"/>
  <c r="AB22" i="7"/>
  <c r="D23" i="7" s="1"/>
  <c r="Z22" i="7"/>
  <c r="AF22" i="7"/>
  <c r="H23" i="7" s="1"/>
  <c r="S22" i="7"/>
  <c r="P22" i="7"/>
  <c r="U22" i="7"/>
  <c r="AH21" i="12"/>
  <c r="AR21" i="10"/>
  <c r="AF23" i="4"/>
  <c r="AA21" i="9"/>
  <c r="AD21" i="9"/>
  <c r="AM21" i="9"/>
  <c r="AN21" i="9"/>
  <c r="AJ21" i="9"/>
  <c r="AK21" i="9"/>
  <c r="W27" i="1" l="1"/>
  <c r="I36" i="1"/>
  <c r="W23" i="4"/>
  <c r="I32" i="1"/>
  <c r="C8" i="8" s="1"/>
  <c r="C13" i="8"/>
  <c r="AB21" i="9"/>
  <c r="AC21" i="9" s="1"/>
  <c r="C6" i="8"/>
  <c r="G26" i="9"/>
  <c r="X26" i="9" s="1"/>
  <c r="I31" i="1"/>
  <c r="AZ21" i="12"/>
  <c r="AO21" i="10"/>
  <c r="AO21" i="9"/>
  <c r="W22" i="7"/>
  <c r="AO21" i="12"/>
  <c r="AF23" i="7"/>
  <c r="H24" i="7" s="1"/>
  <c r="AE23" i="7"/>
  <c r="G24" i="7" s="1"/>
  <c r="BH22" i="10"/>
  <c r="H23" i="10" s="1"/>
  <c r="Y23" i="10" s="1"/>
  <c r="BJ21" i="10"/>
  <c r="L21" i="9"/>
  <c r="I35" i="9"/>
  <c r="C24" i="8" s="1"/>
  <c r="AB23" i="7"/>
  <c r="D24" i="7" s="1"/>
  <c r="E25" i="9"/>
  <c r="V25" i="9" s="1"/>
  <c r="J22" i="9"/>
  <c r="K22" i="9" s="1"/>
  <c r="L22" i="9" s="1"/>
  <c r="S22" i="10"/>
  <c r="I22" i="10"/>
  <c r="BE22" i="10"/>
  <c r="E23" i="10" s="1"/>
  <c r="V23" i="10" s="1"/>
  <c r="I34" i="10"/>
  <c r="B23" i="8" s="1"/>
  <c r="H23" i="8" s="1"/>
  <c r="AB21" i="10"/>
  <c r="Y22" i="12"/>
  <c r="I22" i="12"/>
  <c r="J22" i="12" s="1"/>
  <c r="K22" i="12" s="1"/>
  <c r="L22" i="12" s="1"/>
  <c r="AG22" i="7"/>
  <c r="AH22" i="7" s="1"/>
  <c r="B23" i="7"/>
  <c r="AC23" i="7"/>
  <c r="E24" i="7" s="1"/>
  <c r="B23" i="9"/>
  <c r="Z22" i="9"/>
  <c r="AH22" i="9" s="1"/>
  <c r="AM23" i="4"/>
  <c r="E24" i="4" s="1"/>
  <c r="AL23" i="4"/>
  <c r="D24" i="4" s="1"/>
  <c r="AO23" i="4"/>
  <c r="G24" i="4" s="1"/>
  <c r="AJ23" i="4"/>
  <c r="B24" i="4" s="1"/>
  <c r="AP23" i="4"/>
  <c r="H24" i="4" s="1"/>
  <c r="BD22" i="10"/>
  <c r="D23" i="10" s="1"/>
  <c r="U23" i="10" s="1"/>
  <c r="I34" i="12"/>
  <c r="D23" i="8" s="1"/>
  <c r="G23" i="8" s="1"/>
  <c r="AB21" i="12"/>
  <c r="D25" i="9"/>
  <c r="U25" i="9" s="1"/>
  <c r="H25" i="9"/>
  <c r="Y25" i="9" s="1"/>
  <c r="BG22" i="10"/>
  <c r="G23" i="10" s="1"/>
  <c r="X23" i="10" s="1"/>
  <c r="C9" i="8" l="1"/>
  <c r="I37" i="1"/>
  <c r="C7" i="8"/>
  <c r="C12" i="8"/>
  <c r="C14" i="8" s="1"/>
  <c r="AC24" i="7"/>
  <c r="E25" i="7" s="1"/>
  <c r="AC25" i="7" s="1"/>
  <c r="E26" i="7" s="1"/>
  <c r="AE24" i="7"/>
  <c r="G25" i="7" s="1"/>
  <c r="AE25" i="7" s="1"/>
  <c r="G26" i="7" s="1"/>
  <c r="AF24" i="7"/>
  <c r="H25" i="7" s="1"/>
  <c r="AF25" i="7" s="1"/>
  <c r="H26" i="7" s="1"/>
  <c r="AB24" i="7"/>
  <c r="D25" i="7" s="1"/>
  <c r="AB25" i="7" s="1"/>
  <c r="D26" i="7" s="1"/>
  <c r="D26" i="9"/>
  <c r="U26" i="9" s="1"/>
  <c r="H26" i="9"/>
  <c r="Y26" i="9" s="1"/>
  <c r="E26" i="9"/>
  <c r="V26" i="9" s="1"/>
  <c r="G27" i="9"/>
  <c r="X27" i="9" s="1"/>
  <c r="F23" i="8"/>
  <c r="I35" i="12"/>
  <c r="D24" i="8" s="1"/>
  <c r="G24" i="8" s="1"/>
  <c r="AC21" i="12"/>
  <c r="AL24" i="4"/>
  <c r="D25" i="4" s="1"/>
  <c r="AD22" i="9"/>
  <c r="AA22" i="9"/>
  <c r="AK22" i="9"/>
  <c r="AM22" i="9"/>
  <c r="AN22" i="9"/>
  <c r="AJ22" i="9"/>
  <c r="Z23" i="7"/>
  <c r="I23" i="7"/>
  <c r="P23" i="7" s="1"/>
  <c r="BB22" i="10"/>
  <c r="B23" i="10" s="1"/>
  <c r="Z22" i="10"/>
  <c r="AP24" i="4"/>
  <c r="H25" i="4" s="1"/>
  <c r="AM24" i="4"/>
  <c r="E25" i="4" s="1"/>
  <c r="S23" i="9"/>
  <c r="I23" i="9"/>
  <c r="I36" i="9"/>
  <c r="I39" i="9" s="1"/>
  <c r="I24" i="4"/>
  <c r="AF24" i="4" s="1"/>
  <c r="AJ24" i="4"/>
  <c r="B25" i="4" s="1"/>
  <c r="AR23" i="4"/>
  <c r="I35" i="10"/>
  <c r="B24" i="8" s="1"/>
  <c r="AC21" i="10"/>
  <c r="AO24" i="4"/>
  <c r="G25" i="4" s="1"/>
  <c r="Z22" i="12"/>
  <c r="AN22" i="12" s="1"/>
  <c r="J22" i="10"/>
  <c r="K22" i="10" s="1"/>
  <c r="L22" i="10" s="1"/>
  <c r="G30" i="9" l="1"/>
  <c r="C25" i="8"/>
  <c r="G25" i="8" s="1"/>
  <c r="AB22" i="9"/>
  <c r="AC22" i="9" s="1"/>
  <c r="AL25" i="4"/>
  <c r="D26" i="4" s="1"/>
  <c r="AM25" i="4"/>
  <c r="E26" i="4" s="1"/>
  <c r="AP25" i="4"/>
  <c r="H26" i="4" s="1"/>
  <c r="I25" i="4"/>
  <c r="R25" i="4" s="1"/>
  <c r="AJ25" i="4"/>
  <c r="B26" i="4" s="1"/>
  <c r="AO25" i="4"/>
  <c r="G26" i="4" s="1"/>
  <c r="H27" i="9"/>
  <c r="Y27" i="9" s="1"/>
  <c r="D27" i="9"/>
  <c r="U27" i="9" s="1"/>
  <c r="E27" i="9"/>
  <c r="V27" i="9" s="1"/>
  <c r="AB26" i="7"/>
  <c r="D27" i="7" s="1"/>
  <c r="AE26" i="7"/>
  <c r="G27" i="7" s="1"/>
  <c r="AC26" i="7"/>
  <c r="E27" i="7" s="1"/>
  <c r="AF26" i="7"/>
  <c r="H27" i="7" s="1"/>
  <c r="AE24" i="4"/>
  <c r="AO22" i="9"/>
  <c r="U24" i="4"/>
  <c r="Z24" i="4"/>
  <c r="P24" i="4"/>
  <c r="F24" i="8"/>
  <c r="H24" i="8"/>
  <c r="Z23" i="9"/>
  <c r="AH23" i="9" s="1"/>
  <c r="B24" i="9"/>
  <c r="I23" i="10"/>
  <c r="S23" i="10"/>
  <c r="B24" i="7"/>
  <c r="AG23" i="7"/>
  <c r="AH23" i="7" s="1"/>
  <c r="S24" i="4"/>
  <c r="V24" i="4"/>
  <c r="BI22" i="10"/>
  <c r="AA22" i="10"/>
  <c r="AB22" i="10" s="1"/>
  <c r="AC22" i="10" s="1"/>
  <c r="AY22" i="10"/>
  <c r="AD22" i="10"/>
  <c r="BJ22" i="10"/>
  <c r="AN22" i="10"/>
  <c r="AJ22" i="10"/>
  <c r="AK22" i="10"/>
  <c r="AX22" i="10"/>
  <c r="AU22" i="10"/>
  <c r="AT22" i="10"/>
  <c r="AW22" i="10"/>
  <c r="AM22" i="10"/>
  <c r="AB24" i="4"/>
  <c r="AH22" i="10"/>
  <c r="AR22" i="12"/>
  <c r="B23" i="12" s="1"/>
  <c r="AT22" i="12"/>
  <c r="D23" i="12" s="1"/>
  <c r="U23" i="12" s="1"/>
  <c r="AU22" i="12"/>
  <c r="E23" i="12" s="1"/>
  <c r="V23" i="12" s="1"/>
  <c r="AX22" i="12"/>
  <c r="H23" i="12" s="1"/>
  <c r="Y23" i="12" s="1"/>
  <c r="AK22" i="12"/>
  <c r="AA22" i="12"/>
  <c r="AB22" i="12" s="1"/>
  <c r="AC22" i="12" s="1"/>
  <c r="AJ22" i="12"/>
  <c r="AD22" i="12"/>
  <c r="AW22" i="12"/>
  <c r="G23" i="12" s="1"/>
  <c r="X23" i="12" s="1"/>
  <c r="AH22" i="12"/>
  <c r="AM22" i="12"/>
  <c r="AY22" i="12"/>
  <c r="AQ24" i="4"/>
  <c r="AR24" i="4" s="1"/>
  <c r="AG24" i="4"/>
  <c r="J24" i="4"/>
  <c r="K24" i="4" s="1"/>
  <c r="L24" i="4" s="1"/>
  <c r="J23" i="9"/>
  <c r="K23" i="9" s="1"/>
  <c r="L23" i="9" s="1"/>
  <c r="AC24" i="4"/>
  <c r="AR22" i="10"/>
  <c r="J23" i="7"/>
  <c r="K23" i="7" s="1"/>
  <c r="L23" i="7" s="1"/>
  <c r="S23" i="7"/>
  <c r="U23" i="7"/>
  <c r="V23" i="7"/>
  <c r="R23" i="7"/>
  <c r="R24" i="4"/>
  <c r="H30" i="9" l="1"/>
  <c r="V25" i="4"/>
  <c r="U25" i="4"/>
  <c r="AE25" i="4"/>
  <c r="AF25" i="4"/>
  <c r="AC25" i="4"/>
  <c r="Z25" i="4"/>
  <c r="P25" i="4"/>
  <c r="S25" i="4"/>
  <c r="AG25" i="4"/>
  <c r="AQ25" i="4"/>
  <c r="AR25" i="4" s="1"/>
  <c r="J25" i="4"/>
  <c r="K25" i="4" s="1"/>
  <c r="L25" i="4" s="1"/>
  <c r="AB25" i="4"/>
  <c r="Z24" i="7"/>
  <c r="AG24" i="7" s="1"/>
  <c r="I26" i="4"/>
  <c r="AF26" i="4" s="1"/>
  <c r="AF27" i="7"/>
  <c r="AE27" i="7"/>
  <c r="AC27" i="7"/>
  <c r="AB27" i="7"/>
  <c r="W23" i="7"/>
  <c r="W24" i="4"/>
  <c r="AO22" i="10"/>
  <c r="AW23" i="12"/>
  <c r="G24" i="12" s="1"/>
  <c r="X24" i="12" s="1"/>
  <c r="S23" i="12"/>
  <c r="I23" i="12"/>
  <c r="J23" i="12" s="1"/>
  <c r="K23" i="12" s="1"/>
  <c r="L23" i="12" s="1"/>
  <c r="AX23" i="12"/>
  <c r="H24" i="12" s="1"/>
  <c r="Y24" i="12" s="1"/>
  <c r="I24" i="7"/>
  <c r="P24" i="7" s="1"/>
  <c r="AO22" i="12"/>
  <c r="AU23" i="12"/>
  <c r="E24" i="12" s="1"/>
  <c r="V24" i="12" s="1"/>
  <c r="Z23" i="10"/>
  <c r="AH23" i="10" s="1"/>
  <c r="S24" i="9"/>
  <c r="I24" i="9"/>
  <c r="AZ22" i="12"/>
  <c r="AT23" i="12"/>
  <c r="D24" i="12" s="1"/>
  <c r="U24" i="12" s="1"/>
  <c r="J23" i="10"/>
  <c r="K23" i="10" s="1"/>
  <c r="L23" i="10" s="1"/>
  <c r="AA23" i="9"/>
  <c r="AD23" i="9"/>
  <c r="AJ23" i="9"/>
  <c r="AM23" i="9"/>
  <c r="AN23" i="9"/>
  <c r="AK23" i="9"/>
  <c r="E30" i="7" l="1"/>
  <c r="H30" i="7"/>
  <c r="G30" i="7"/>
  <c r="D30" i="7"/>
  <c r="D30" i="9"/>
  <c r="E30" i="9"/>
  <c r="AB23" i="9"/>
  <c r="AC23" i="9" s="1"/>
  <c r="AH24" i="7"/>
  <c r="W25" i="4"/>
  <c r="S24" i="7"/>
  <c r="R24" i="7"/>
  <c r="U24" i="7"/>
  <c r="V24" i="7"/>
  <c r="B25" i="7"/>
  <c r="I25" i="7" s="1"/>
  <c r="AG26" i="4"/>
  <c r="AQ26" i="4"/>
  <c r="AB26" i="4"/>
  <c r="P26" i="4"/>
  <c r="AC26" i="4"/>
  <c r="S26" i="4"/>
  <c r="V26" i="4"/>
  <c r="AE26" i="4"/>
  <c r="R26" i="4"/>
  <c r="U26" i="4"/>
  <c r="Z26" i="4"/>
  <c r="J26" i="4"/>
  <c r="K26" i="4" s="1"/>
  <c r="L26" i="4" s="1"/>
  <c r="AO23" i="9"/>
  <c r="J24" i="9"/>
  <c r="K24" i="9" s="1"/>
  <c r="L24" i="9" s="1"/>
  <c r="AR23" i="10"/>
  <c r="AU24" i="12"/>
  <c r="E25" i="12" s="1"/>
  <c r="J24" i="7"/>
  <c r="K24" i="7" s="1"/>
  <c r="L24" i="7" s="1"/>
  <c r="AR23" i="12"/>
  <c r="B24" i="12" s="1"/>
  <c r="Z23" i="12"/>
  <c r="Z24" i="9"/>
  <c r="AH24" i="9" s="1"/>
  <c r="B25" i="9"/>
  <c r="S25" i="9" s="1"/>
  <c r="AX24" i="12"/>
  <c r="H25" i="12" s="1"/>
  <c r="Y25" i="12" s="1"/>
  <c r="AW24" i="12"/>
  <c r="G25" i="12" s="1"/>
  <c r="X25" i="12" s="1"/>
  <c r="AT24" i="12"/>
  <c r="D25" i="12" s="1"/>
  <c r="U25" i="12" s="1"/>
  <c r="AA23" i="10"/>
  <c r="AB23" i="10" s="1"/>
  <c r="AC23" i="10" s="1"/>
  <c r="AD23" i="10"/>
  <c r="AY23" i="10"/>
  <c r="BI23" i="10"/>
  <c r="BG23" i="10"/>
  <c r="G24" i="10" s="1"/>
  <c r="X24" i="10" s="1"/>
  <c r="BE23" i="10"/>
  <c r="E24" i="10" s="1"/>
  <c r="V24" i="10" s="1"/>
  <c r="BH23" i="10"/>
  <c r="H24" i="10" s="1"/>
  <c r="Y24" i="10" s="1"/>
  <c r="BD23" i="10"/>
  <c r="D24" i="10" s="1"/>
  <c r="U24" i="10" s="1"/>
  <c r="BB23" i="10"/>
  <c r="B24" i="10" s="1"/>
  <c r="AU23" i="10"/>
  <c r="AW23" i="10"/>
  <c r="AK23" i="10"/>
  <c r="AM23" i="10"/>
  <c r="AX23" i="10"/>
  <c r="AJ23" i="10"/>
  <c r="AN23" i="10"/>
  <c r="AT23" i="10"/>
  <c r="W24" i="7" l="1"/>
  <c r="W26" i="4"/>
  <c r="P25" i="7"/>
  <c r="AO26" i="4"/>
  <c r="G27" i="4" s="1"/>
  <c r="AO27" i="4" s="1"/>
  <c r="AM26" i="4"/>
  <c r="E27" i="4" s="1"/>
  <c r="AM27" i="4" s="1"/>
  <c r="AL26" i="4"/>
  <c r="D27" i="4" s="1"/>
  <c r="AL27" i="4" s="1"/>
  <c r="AP26" i="4"/>
  <c r="H27" i="4" s="1"/>
  <c r="AP27" i="4" s="1"/>
  <c r="AJ26" i="4"/>
  <c r="B27" i="4" s="1"/>
  <c r="Z25" i="7"/>
  <c r="AG25" i="7" s="1"/>
  <c r="AH25" i="7" s="1"/>
  <c r="AX25" i="12"/>
  <c r="B26" i="9"/>
  <c r="Z25" i="9"/>
  <c r="AH25" i="9" s="1"/>
  <c r="AW25" i="12"/>
  <c r="AT25" i="12"/>
  <c r="V25" i="12"/>
  <c r="J25" i="7"/>
  <c r="K25" i="7" s="1"/>
  <c r="L25" i="7" s="1"/>
  <c r="S25" i="7"/>
  <c r="R25" i="7"/>
  <c r="V25" i="7"/>
  <c r="U25" i="7"/>
  <c r="AO23" i="10"/>
  <c r="AH23" i="12"/>
  <c r="BD24" i="10"/>
  <c r="D25" i="10" s="1"/>
  <c r="U25" i="10" s="1"/>
  <c r="BJ23" i="10"/>
  <c r="I25" i="9"/>
  <c r="BH24" i="10"/>
  <c r="H25" i="10" s="1"/>
  <c r="Y25" i="10" s="1"/>
  <c r="AD23" i="12"/>
  <c r="AA23" i="12"/>
  <c r="AB23" i="12" s="1"/>
  <c r="AC23" i="12" s="1"/>
  <c r="AY23" i="12"/>
  <c r="AZ23" i="12"/>
  <c r="AN23" i="12"/>
  <c r="AK23" i="12"/>
  <c r="AM23" i="12"/>
  <c r="AJ23" i="12"/>
  <c r="BE24" i="10"/>
  <c r="E25" i="10" s="1"/>
  <c r="V25" i="10" s="1"/>
  <c r="AD24" i="9"/>
  <c r="AA24" i="9"/>
  <c r="AK24" i="9"/>
  <c r="AN24" i="9"/>
  <c r="AM24" i="9"/>
  <c r="AJ24" i="9"/>
  <c r="S24" i="12"/>
  <c r="I24" i="12"/>
  <c r="J24" i="12" s="1"/>
  <c r="K24" i="12" s="1"/>
  <c r="L24" i="12" s="1"/>
  <c r="S24" i="10"/>
  <c r="I24" i="10"/>
  <c r="BG24" i="10"/>
  <c r="G25" i="10" s="1"/>
  <c r="X25" i="10" s="1"/>
  <c r="H30" i="4" l="1"/>
  <c r="D30" i="4"/>
  <c r="E30" i="4"/>
  <c r="G30" i="4"/>
  <c r="AB24" i="9"/>
  <c r="AC24" i="9" s="1"/>
  <c r="B26" i="7"/>
  <c r="I26" i="7" s="1"/>
  <c r="J26" i="7" s="1"/>
  <c r="K26" i="7" s="1"/>
  <c r="L26" i="7" s="1"/>
  <c r="AR26" i="4"/>
  <c r="I27" i="4"/>
  <c r="AF27" i="4" s="1"/>
  <c r="AJ27" i="4"/>
  <c r="BH25" i="10"/>
  <c r="H26" i="10" s="1"/>
  <c r="Y26" i="10" s="1"/>
  <c r="S26" i="9"/>
  <c r="I26" i="9"/>
  <c r="J26" i="9" s="1"/>
  <c r="K26" i="9" s="1"/>
  <c r="L26" i="9" s="1"/>
  <c r="AU25" i="12"/>
  <c r="E26" i="12" s="1"/>
  <c r="V26" i="12" s="1"/>
  <c r="BG25" i="10"/>
  <c r="G26" i="10" s="1"/>
  <c r="X26" i="10" s="1"/>
  <c r="BE25" i="10"/>
  <c r="E26" i="10" s="1"/>
  <c r="BD25" i="10"/>
  <c r="D26" i="10" s="1"/>
  <c r="U26" i="10" s="1"/>
  <c r="AD25" i="9"/>
  <c r="AA25" i="9"/>
  <c r="AB25" i="9" s="1"/>
  <c r="AC25" i="9" s="1"/>
  <c r="AM25" i="9"/>
  <c r="AJ25" i="9"/>
  <c r="AK25" i="9"/>
  <c r="AN25" i="9"/>
  <c r="H26" i="12"/>
  <c r="Y26" i="12" s="1"/>
  <c r="D26" i="12"/>
  <c r="U26" i="12" s="1"/>
  <c r="G26" i="12"/>
  <c r="X26" i="12" s="1"/>
  <c r="W25" i="7"/>
  <c r="AO24" i="9"/>
  <c r="AO23" i="12"/>
  <c r="J24" i="10"/>
  <c r="K24" i="10" s="1"/>
  <c r="L24" i="10" s="1"/>
  <c r="BB24" i="10"/>
  <c r="B25" i="10" s="1"/>
  <c r="S25" i="10" s="1"/>
  <c r="Z25" i="10" s="1"/>
  <c r="AW25" i="10" s="1"/>
  <c r="Z24" i="10"/>
  <c r="AR24" i="10" s="1"/>
  <c r="AR24" i="12"/>
  <c r="B25" i="12" s="1"/>
  <c r="Z24" i="12"/>
  <c r="J25" i="9"/>
  <c r="K25" i="9" s="1"/>
  <c r="L25" i="9" s="1"/>
  <c r="P26" i="7" l="1"/>
  <c r="Z26" i="7"/>
  <c r="AG26" i="7" s="1"/>
  <c r="AH26" i="7" s="1"/>
  <c r="AC27" i="4"/>
  <c r="R27" i="4"/>
  <c r="P27" i="4"/>
  <c r="U27" i="4"/>
  <c r="V27" i="4"/>
  <c r="Z27" i="4"/>
  <c r="AE27" i="4"/>
  <c r="J27" i="4"/>
  <c r="K27" i="4" s="1"/>
  <c r="L27" i="4" s="1"/>
  <c r="AG27" i="4"/>
  <c r="AQ27" i="4"/>
  <c r="AR27" i="4" s="1"/>
  <c r="S27" i="4"/>
  <c r="AB27" i="4"/>
  <c r="B27" i="9"/>
  <c r="Z26" i="9"/>
  <c r="AR25" i="10"/>
  <c r="AH25" i="10"/>
  <c r="BB25" i="10"/>
  <c r="BJ25" i="10" s="1"/>
  <c r="AO25" i="9"/>
  <c r="AU25" i="10"/>
  <c r="BI25" i="10"/>
  <c r="AY25" i="10"/>
  <c r="AA25" i="10"/>
  <c r="AB25" i="10" s="1"/>
  <c r="AC25" i="10" s="1"/>
  <c r="AJ25" i="10"/>
  <c r="AK25" i="10"/>
  <c r="AN25" i="10"/>
  <c r="S25" i="12"/>
  <c r="I25" i="12"/>
  <c r="J25" i="12" s="1"/>
  <c r="K25" i="12" s="1"/>
  <c r="L25" i="12" s="1"/>
  <c r="AT25" i="10"/>
  <c r="AM25" i="10"/>
  <c r="AX25" i="10"/>
  <c r="AW26" i="12"/>
  <c r="G27" i="12" s="1"/>
  <c r="X27" i="12" s="1"/>
  <c r="AT26" i="12"/>
  <c r="D27" i="12" s="1"/>
  <c r="U27" i="12" s="1"/>
  <c r="AX26" i="12"/>
  <c r="H27" i="12" s="1"/>
  <c r="Y27" i="12" s="1"/>
  <c r="AU26" i="12"/>
  <c r="E27" i="12" s="1"/>
  <c r="BH26" i="10"/>
  <c r="H27" i="10" s="1"/>
  <c r="Y27" i="10" s="1"/>
  <c r="BD26" i="10"/>
  <c r="D27" i="10" s="1"/>
  <c r="U27" i="10" s="1"/>
  <c r="BG26" i="10"/>
  <c r="G27" i="10" s="1"/>
  <c r="X27" i="10" s="1"/>
  <c r="V26" i="10"/>
  <c r="R26" i="7"/>
  <c r="S26" i="7"/>
  <c r="U26" i="7"/>
  <c r="V26" i="7"/>
  <c r="AA24" i="12"/>
  <c r="AB24" i="12" s="1"/>
  <c r="AC24" i="12" s="1"/>
  <c r="AY24" i="12"/>
  <c r="AZ24" i="12"/>
  <c r="AD24" i="12"/>
  <c r="AK24" i="12"/>
  <c r="AN24" i="12"/>
  <c r="AJ24" i="12"/>
  <c r="AM24" i="12"/>
  <c r="AH24" i="12"/>
  <c r="AY24" i="10"/>
  <c r="AD24" i="10"/>
  <c r="BJ24" i="10"/>
  <c r="AA24" i="10"/>
  <c r="AB24" i="10" s="1"/>
  <c r="AC24" i="10" s="1"/>
  <c r="BI24" i="10"/>
  <c r="AN24" i="10"/>
  <c r="AT24" i="10"/>
  <c r="AK24" i="10"/>
  <c r="AW24" i="10"/>
  <c r="AJ24" i="10"/>
  <c r="AX24" i="10"/>
  <c r="AU24" i="10"/>
  <c r="AM24" i="10"/>
  <c r="I25" i="10"/>
  <c r="AD25" i="10" s="1"/>
  <c r="AH24" i="10"/>
  <c r="B27" i="7" l="1"/>
  <c r="B30" i="4"/>
  <c r="I30" i="4" s="1"/>
  <c r="W26" i="7"/>
  <c r="W27" i="4"/>
  <c r="AD26" i="9"/>
  <c r="AA26" i="9"/>
  <c r="AB26" i="9" s="1"/>
  <c r="AC26" i="9" s="1"/>
  <c r="AM26" i="9"/>
  <c r="AJ26" i="9"/>
  <c r="AN26" i="9"/>
  <c r="AK26" i="9"/>
  <c r="I27" i="9"/>
  <c r="J27" i="9" s="1"/>
  <c r="K27" i="9" s="1"/>
  <c r="L27" i="9" s="1"/>
  <c r="S27" i="9"/>
  <c r="AR25" i="12"/>
  <c r="B26" i="12" s="1"/>
  <c r="Z25" i="12"/>
  <c r="AO25" i="10"/>
  <c r="AH26" i="9"/>
  <c r="AT27" i="12"/>
  <c r="V27" i="12"/>
  <c r="AX27" i="12"/>
  <c r="AW27" i="12"/>
  <c r="BE26" i="10"/>
  <c r="E27" i="10" s="1"/>
  <c r="Z27" i="7"/>
  <c r="I27" i="7"/>
  <c r="AO24" i="10"/>
  <c r="B26" i="10"/>
  <c r="J25" i="10"/>
  <c r="K25" i="10" s="1"/>
  <c r="L25" i="10" s="1"/>
  <c r="AO24" i="12"/>
  <c r="AG27" i="7" l="1"/>
  <c r="AH27" i="7" s="1"/>
  <c r="I32" i="4"/>
  <c r="B8" i="8" s="1"/>
  <c r="H8" i="8" s="1"/>
  <c r="B13" i="8"/>
  <c r="I36" i="4"/>
  <c r="B6" i="8"/>
  <c r="H6" i="8" s="1"/>
  <c r="I31" i="4"/>
  <c r="I31" i="9"/>
  <c r="C22" i="8" s="1"/>
  <c r="G30" i="12"/>
  <c r="H30" i="12"/>
  <c r="D30" i="12"/>
  <c r="AY25" i="12"/>
  <c r="AZ25" i="12"/>
  <c r="AA25" i="12"/>
  <c r="AB25" i="12" s="1"/>
  <c r="AC25" i="12" s="1"/>
  <c r="AD25" i="12"/>
  <c r="AN25" i="12"/>
  <c r="AM25" i="12"/>
  <c r="AJ25" i="12"/>
  <c r="AK25" i="12"/>
  <c r="AO26" i="9"/>
  <c r="AH25" i="12"/>
  <c r="Z27" i="9"/>
  <c r="AH27" i="9" s="1"/>
  <c r="AU27" i="12"/>
  <c r="I26" i="12"/>
  <c r="J26" i="12" s="1"/>
  <c r="K26" i="12" s="1"/>
  <c r="L26" i="12" s="1"/>
  <c r="S26" i="12"/>
  <c r="V27" i="10"/>
  <c r="S26" i="10"/>
  <c r="I26" i="10"/>
  <c r="V27" i="7"/>
  <c r="S27" i="7"/>
  <c r="R27" i="7"/>
  <c r="U27" i="7"/>
  <c r="J27" i="7"/>
  <c r="K27" i="7" s="1"/>
  <c r="L27" i="7" s="1"/>
  <c r="P27" i="7"/>
  <c r="C20" i="8" l="1"/>
  <c r="B12" i="8"/>
  <c r="B14" i="8" s="1"/>
  <c r="B9" i="8"/>
  <c r="H9" i="8" s="1"/>
  <c r="B7" i="8"/>
  <c r="H7" i="8" s="1"/>
  <c r="I37" i="4"/>
  <c r="U30" i="12"/>
  <c r="Y30" i="12"/>
  <c r="E30" i="12"/>
  <c r="X30" i="12"/>
  <c r="AO25" i="12"/>
  <c r="AD27" i="9"/>
  <c r="AA27" i="9"/>
  <c r="AM27" i="9"/>
  <c r="AK27" i="9"/>
  <c r="AJ27" i="9"/>
  <c r="AN27" i="9"/>
  <c r="Z26" i="12"/>
  <c r="AH26" i="12" s="1"/>
  <c r="AR26" i="12"/>
  <c r="B27" i="12" s="1"/>
  <c r="Z26" i="10"/>
  <c r="AA26" i="10" s="1"/>
  <c r="AB26" i="10" s="1"/>
  <c r="AC26" i="10" s="1"/>
  <c r="BB26" i="10"/>
  <c r="B27" i="10" s="1"/>
  <c r="J26" i="10"/>
  <c r="K26" i="10" s="1"/>
  <c r="L26" i="10" s="1"/>
  <c r="W27" i="7"/>
  <c r="I32" i="7" l="1"/>
  <c r="D8" i="8" s="1"/>
  <c r="D13" i="8"/>
  <c r="B30" i="7"/>
  <c r="I30" i="7" s="1"/>
  <c r="AD26" i="12"/>
  <c r="V30" i="12"/>
  <c r="B30" i="9"/>
  <c r="I30" i="9" s="1"/>
  <c r="AB27" i="9"/>
  <c r="AC27" i="9" s="1"/>
  <c r="I32" i="9" s="1"/>
  <c r="C21" i="8" s="1"/>
  <c r="AH26" i="10"/>
  <c r="AO27" i="9"/>
  <c r="AD26" i="10"/>
  <c r="AR26" i="10"/>
  <c r="AA26" i="12"/>
  <c r="AB26" i="12" s="1"/>
  <c r="AC26" i="12" s="1"/>
  <c r="S27" i="12"/>
  <c r="I27" i="12"/>
  <c r="J27" i="12" s="1"/>
  <c r="K27" i="12" s="1"/>
  <c r="L27" i="12" s="1"/>
  <c r="AY26" i="12"/>
  <c r="AZ26" i="12"/>
  <c r="AM26" i="12"/>
  <c r="AN26" i="12"/>
  <c r="AJ26" i="12"/>
  <c r="AK26" i="12"/>
  <c r="S27" i="10"/>
  <c r="I27" i="10"/>
  <c r="J27" i="10" s="1"/>
  <c r="K27" i="10" s="1"/>
  <c r="L27" i="10" s="1"/>
  <c r="BJ26" i="10"/>
  <c r="AY26" i="10"/>
  <c r="BI26" i="10"/>
  <c r="AX26" i="10"/>
  <c r="AJ26" i="10"/>
  <c r="AM26" i="10"/>
  <c r="AT26" i="10"/>
  <c r="AN26" i="10"/>
  <c r="AW26" i="10"/>
  <c r="AU26" i="10"/>
  <c r="AK26" i="10"/>
  <c r="D12" i="8" l="1"/>
  <c r="F12" i="8" s="1"/>
  <c r="G13" i="8"/>
  <c r="F13" i="8"/>
  <c r="I36" i="7"/>
  <c r="I37" i="7"/>
  <c r="D6" i="8"/>
  <c r="I31" i="7"/>
  <c r="G8" i="8"/>
  <c r="F8" i="8"/>
  <c r="C27" i="8"/>
  <c r="I37" i="9"/>
  <c r="C19" i="8"/>
  <c r="AO26" i="10"/>
  <c r="AO26" i="12"/>
  <c r="Z27" i="12"/>
  <c r="AH27" i="12" s="1"/>
  <c r="AR27" i="12"/>
  <c r="Z27" i="10"/>
  <c r="I31" i="10"/>
  <c r="G12" i="8" l="1"/>
  <c r="D14" i="8"/>
  <c r="I38" i="9"/>
  <c r="C26" i="8"/>
  <c r="C28" i="8" s="1"/>
  <c r="G6" i="8"/>
  <c r="K6" i="8"/>
  <c r="F6" i="8"/>
  <c r="J6" i="8"/>
  <c r="D9" i="8"/>
  <c r="D7" i="8"/>
  <c r="AY30" i="12"/>
  <c r="AH27" i="10"/>
  <c r="BH27" i="10"/>
  <c r="BG27" i="10"/>
  <c r="BE27" i="10"/>
  <c r="BB27" i="10"/>
  <c r="BD27" i="10"/>
  <c r="AR27" i="10"/>
  <c r="B30" i="12"/>
  <c r="I30" i="12" s="1"/>
  <c r="AZ27" i="12"/>
  <c r="AY27" i="12"/>
  <c r="AD27" i="12"/>
  <c r="AM27" i="12"/>
  <c r="AJ27" i="12"/>
  <c r="AN27" i="12"/>
  <c r="AK27" i="12"/>
  <c r="AA27" i="12"/>
  <c r="B22" i="8"/>
  <c r="H22" i="8" s="1"/>
  <c r="B20" i="8"/>
  <c r="H20" i="8" s="1"/>
  <c r="AY27" i="10"/>
  <c r="BI27" i="10"/>
  <c r="AD27" i="10"/>
  <c r="AN27" i="10"/>
  <c r="AM27" i="10"/>
  <c r="AX27" i="10"/>
  <c r="AW27" i="10"/>
  <c r="AT27" i="10"/>
  <c r="AJ27" i="10"/>
  <c r="AK27" i="10"/>
  <c r="AU27" i="10"/>
  <c r="AA27" i="10"/>
  <c r="AB27" i="10" s="1"/>
  <c r="AC27" i="10" s="1"/>
  <c r="G9" i="8" l="1"/>
  <c r="F9" i="8"/>
  <c r="F7" i="8"/>
  <c r="G7" i="8"/>
  <c r="E30" i="10"/>
  <c r="BJ27" i="10"/>
  <c r="G30" i="10"/>
  <c r="H30" i="10"/>
  <c r="AB27" i="12"/>
  <c r="AC27" i="12" s="1"/>
  <c r="D30" i="10"/>
  <c r="AO27" i="12"/>
  <c r="D19" i="8"/>
  <c r="I37" i="12"/>
  <c r="AO27" i="10"/>
  <c r="S30" i="12" l="1"/>
  <c r="Z30" i="12" s="1"/>
  <c r="B30" i="10"/>
  <c r="I30" i="10" s="1"/>
  <c r="K19" i="8"/>
  <c r="G19" i="8"/>
  <c r="I37" i="10" l="1"/>
  <c r="B19" i="8"/>
  <c r="D27" i="8"/>
  <c r="B27" i="8"/>
  <c r="I32" i="10"/>
  <c r="B21" i="8" s="1"/>
  <c r="I31" i="12"/>
  <c r="AZ30" i="12"/>
  <c r="D26" i="8" l="1"/>
  <c r="D28" i="8" s="1"/>
  <c r="B26" i="8"/>
  <c r="B28" i="8" s="1"/>
  <c r="I32" i="12"/>
  <c r="D21" i="8" s="1"/>
  <c r="G21" i="8" s="1"/>
  <c r="I38" i="12"/>
  <c r="H21" i="8"/>
  <c r="H19" i="8"/>
  <c r="J19" i="8"/>
  <c r="F19" i="8"/>
  <c r="I38" i="10"/>
  <c r="D22" i="8"/>
  <c r="D20" i="8"/>
  <c r="F21" i="8" l="1"/>
  <c r="G22" i="8"/>
  <c r="F22" i="8"/>
  <c r="G20" i="8"/>
  <c r="F20" i="8"/>
</calcChain>
</file>

<file path=xl/sharedStrings.xml><?xml version="1.0" encoding="utf-8"?>
<sst xmlns="http://schemas.openxmlformats.org/spreadsheetml/2006/main" count="375" uniqueCount="155">
  <si>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</si>
  <si>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</si>
  <si>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</si>
  <si>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</si>
  <si>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</si>
  <si>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</si>
  <si>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</si>
  <si>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</si>
  <si>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</si>
  <si>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</si>
  <si>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</si>
  <si>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</si>
  <si>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</si>
  <si>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</si>
  <si>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</si>
  <si>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</si>
  <si>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</si>
  <si>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</si>
  <si>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</si>
  <si>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</si>
  <si>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</si>
  <si>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</si>
  <si>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</si>
  <si>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</si>
  <si>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</si>
  <si>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</si>
  <si>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</si>
  <si>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</si>
  <si>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</si>
  <si>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</si>
  <si>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</si>
  <si>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</si>
  <si>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</si>
  <si>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</si>
  <si>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</si>
  <si>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</si>
  <si>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</si>
  <si>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</si>
  <si>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</si>
  <si>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</si>
  <si>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</si>
  <si>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</si>
  <si>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</si>
  <si>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</si>
  <si>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</si>
  <si>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</si>
  <si>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</si>
  <si>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</si>
  <si>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</si>
  <si>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</si>
  <si>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</si>
  <si>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</si>
  <si>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</si>
  <si>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</si>
  <si>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</si>
  <si>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</si>
  <si>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</si>
  <si>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</si>
  <si>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</si>
  <si>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</si>
  <si>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</si>
  <si>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</si>
  <si>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</si>
  <si>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</si>
  <si>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4% Withdrawals-No Rebalancing</t>
  </si>
  <si>
    <t>1A</t>
  </si>
  <si>
    <t>CPI Data downloaded from Econostats. Most current data is preliminary; all other is end of year</t>
  </si>
  <si>
    <t>3. Withdrawal Amount</t>
  </si>
  <si>
    <t>4% Withdrawals-Rebalancing</t>
  </si>
  <si>
    <t>6. Allocations Test - False Values Signal Rebalancing Needed</t>
  </si>
  <si>
    <t>When a new year of data is added, new rows must be added to all spreadsheets</t>
  </si>
  <si>
    <t>All items shaded in Orange are manually adjusted; all other are based on formulas</t>
  </si>
  <si>
    <t>Rebalancing is done manually; including blue shading of cells</t>
  </si>
  <si>
    <t>Rebalancing required at the end of 2013</t>
  </si>
  <si>
    <t>Portfolio Strategy</t>
  </si>
  <si>
    <t>Rebalance at 5% Thresholds</t>
  </si>
  <si>
    <t>Total Return</t>
  </si>
  <si>
    <t>Annualized Return</t>
  </si>
  <si>
    <t>Largest Annual Loss</t>
  </si>
  <si>
    <t>Final</t>
  </si>
  <si>
    <t>CPI</t>
  </si>
  <si>
    <t>Total Withdrawals</t>
  </si>
  <si>
    <t>Return data from Morningstar; available in truncated form in AAII's Mutual Fund Guide</t>
  </si>
  <si>
    <t>CPI  (CPI-U - US city average all urban consumers ) seas adj data used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</si>
  <si>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</si>
  <si>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</si>
  <si>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Panic Portfolio</t>
  </si>
  <si>
    <t>Allocations are calculated post withdrawals</t>
  </si>
  <si>
    <t>Adjust return and standard deviation calculations to reflect addition of new year</t>
  </si>
  <si>
    <t>Assumes investor starts at Jan 1 2000 to simulate investing at height of tech buble</t>
  </si>
  <si>
    <t>No extended Market (VEXMX) because Midcap fund (VIMSX) available</t>
  </si>
  <si>
    <t>4. Panic Grid</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</si>
  <si>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</si>
  <si>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</si>
  <si>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</si>
  <si>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</si>
  <si>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</si>
  <si>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</si>
  <si>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Ending Equity Allocation</t>
  </si>
  <si>
    <t>Ending Fixed-Income Allocation</t>
  </si>
  <si>
    <t>Allocation Check</t>
  </si>
  <si>
    <t>1A. Geometric Mean of Fund Retunrs</t>
  </si>
  <si>
    <t>Rebalance vs Panic</t>
  </si>
  <si>
    <t>No Change vs Panic</t>
  </si>
  <si>
    <t>Rebalance vs Not Rebalancing</t>
  </si>
  <si>
    <t>Panic and Sell When S&amp;P 500 Falls &gt; 20%</t>
  </si>
  <si>
    <t>Table 3. Returns from Starting in 2007</t>
  </si>
  <si>
    <t>No Rebalancing</t>
  </si>
  <si>
    <t>2. Non-Rebalanced Strategy - End of Year Balance</t>
  </si>
  <si>
    <t>2. Panic Strategy - End of Year Balance</t>
  </si>
  <si>
    <t>3. Panic Strategy - Annual Allocations</t>
  </si>
  <si>
    <t>4. Panic Strategy - Withdrawal Equal Amounts from All Funds</t>
  </si>
  <si>
    <t>5. Panic Strategy - Annual Allocations</t>
  </si>
  <si>
    <t>2. Rebalanced Strategy (5% Triggers) - End of Year Balance</t>
  </si>
  <si>
    <t>4. Rebalanced Strategy - Withdrawal Equal Amounts from All Funds</t>
  </si>
  <si>
    <t>5. Rebalanced Strategy - Annual Allocations</t>
  </si>
  <si>
    <t>7. Rebalanced Strategy (5% Triggers) - Rebalance Grid</t>
  </si>
  <si>
    <t>4. Non-Rebalanced Strategy - Withdrawal Equal Amounts from All Funds</t>
  </si>
  <si>
    <t>5. Non-Rebalanced Strategy - Annual Allocations</t>
  </si>
  <si>
    <t>3. Rebalanced Strategy (5% Triggers) - Allocations Prior to Rebalancing</t>
  </si>
  <si>
    <t>4. Rebalanced Strategy Allocations Test - False Values Signal Rebalancing Needed</t>
  </si>
  <si>
    <t>5. Rebalanced Strategy (5% Triggers) - Rebalance Grid</t>
  </si>
  <si>
    <t>3. Non-Rebalanced Strategy Annual Allocations</t>
  </si>
  <si>
    <t>Non-Rebalanced Strategy</t>
  </si>
  <si>
    <t>Portfolio allocations - per fund dollar amount divided by portfolio's total balance</t>
  </si>
  <si>
    <t>Rebalanced Strategy</t>
  </si>
  <si>
    <t>Annual return information for funds; data pulls from Non-Rebalanced Strategy tab</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</si>
  <si>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</si>
  <si>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</si>
  <si>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</si>
  <si>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</si>
  <si>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</si>
  <si>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</si>
  <si>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</si>
  <si>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Withdrawal amount starts at 4% of year-end 2007 balance. Initial amount is adjusted upwards annually based on change in CPI.</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</si>
  <si>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</si>
  <si>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Withdrawal amount starts at 4% of year-end 2007 balance. Initial amount is adjusted upwards annually based on change in CPI using data in Table 1A.</t>
  </si>
  <si>
    <t>Annual balances calculated using end of year post-withdrawal data for previous years times fund returns for current year (Table 4), since all data beyond 2007 factors in withdrawals. 2007 returns are pre-withdrawals. Largest drawdown and worse return calculated before withdrawals to show impact of market on the portfolio. No rebalancing occurs.</t>
  </si>
  <si>
    <t xml:space="preserve">Annual balances calculated using end of year post-withdrawal data for previous years times fund returns for current year (Table 7), since all data beyond 2007 factors in withdrawals and rebalancing. 2007 returns are pre-withdrawals. Returns calculated before any rebalancing adjustments are made for that specific year. Largest drawdown and worse return calculated before withdrawals and rebalancing to show impact of market on the portfolio. </t>
  </si>
  <si>
    <t>Withdrawal amount starts at 4% of year-end 2000 balance. Initial amount is adjusted upwards annually based on change in CPI using data in Table 1A.</t>
  </si>
  <si>
    <t>End of year performance calculated as balances from prior year times fund return for current year in Table 5. 2007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</si>
  <si>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</si>
  <si>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End of year performance calculated as balances from prior year (table 4) times fund return for current year (table 1). 2007 end of year balance based solely on annual fund performance. Manually adjust standard deviation for number of periods.</t>
  </si>
  <si>
    <t xml:space="preserve">Annual balances calculated using end of year post-withdrawal data for previous years times fund returns for current year (Table 4), since all data beyond 2007 factors in withdrawals. 2007 returns are pre-withdrawals. Returns calculated before any panicking adjustments are made for that specific year. Starting values for 2008 and beyond are from Table 6, and reflect any adjustments for panicking. Largest drawdown and worse return calculated before withdrawals to show impact of market on the portfolio. 
</t>
  </si>
  <si>
    <t>1A. CPI Data</t>
  </si>
  <si>
    <t>CPI Data from Econostats thru 2013, data from FRED for 2014 forward used</t>
  </si>
  <si>
    <t>https://research.stlouisfed.org/fred2/series/CPIAUCSL</t>
  </si>
  <si>
    <t>Gain/Loss Check</t>
  </si>
  <si>
    <t>Withdrawal Check</t>
  </si>
  <si>
    <t>Non-Withdrawal Portfolio Results (2007 - 2015)</t>
  </si>
  <si>
    <t>Withdrawal Portfolio Results (2007 - 2015)</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</si>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</sst>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164" formatCode="0.0%"/>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sz val="11"/>
      <color indexed="8"/>
      <name val="Calibri"/>
      <family val="2"/>
    </font>
    <font>
      <b/>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66">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164" fontId="0" fillId="6"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6" fontId="11" fillId="0" borderId="1" xfId="0" applyNumberFormat="1" applyFont="1" applyBorder="1"/>
    <xf numFmtId="164" fontId="0" fillId="0" borderId="0" xfId="1" applyNumberFormat="1" applyFont="1" applyFill="1"/>
    <xf numFmtId="6" fontId="0" fillId="0" borderId="0" xfId="0" applyNumberFormat="1" applyFill="1"/>
    <xf numFmtId="164" fontId="0" fillId="2" borderId="0" xfId="1" applyNumberFormat="1" applyFont="1" applyFill="1"/>
    <xf numFmtId="164" fontId="3" fillId="4" borderId="0" xfId="1" applyNumberFormat="1" applyFont="1" applyFill="1"/>
    <xf numFmtId="0" fontId="0" fillId="4" borderId="0" xfId="0" applyFill="1" applyAlignment="1">
      <alignment horizontal="right"/>
    </xf>
    <xf numFmtId="0" fontId="12" fillId="0" borderId="0" xfId="0" applyFont="1"/>
    <xf numFmtId="0" fontId="4" fillId="3" borderId="0" xfId="0" applyFont="1" applyFill="1"/>
    <xf numFmtId="10" fontId="0" fillId="0" borderId="0" xfId="0" applyNumberFormat="1" applyFill="1"/>
    <xf numFmtId="0" fontId="0" fillId="9" borderId="0" xfId="0"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7"/>
  <sheetViews>
    <sheetView topLeftCell="A58" workbookViewId="0">
      <selection activeCell="B64" sqref="B64"/>
    </sheetView>
  </sheetViews>
  <sheetFormatPr defaultColWidth="8.83984375" defaultRowHeight="14.4" x14ac:dyDescent="0.55000000000000004"/>
  <cols>
    <col min="2" max="2" width="84.15625" style="8" customWidth="1"/>
  </cols>
  <sheetData>
    <row r="1" spans="1:2" x14ac:dyDescent="0.55000000000000004">
      <c r="A1" s="18" t="s">
        <v>59</v>
      </c>
    </row>
    <row r="3" spans="1:2" x14ac:dyDescent="0.55000000000000004">
      <c r="A3" s="50" t="s">
        <v>11</v>
      </c>
    </row>
    <row r="4" spans="1:2" x14ac:dyDescent="0.55000000000000004">
      <c r="A4" t="s">
        <v>70</v>
      </c>
    </row>
    <row r="5" spans="1:2" x14ac:dyDescent="0.55000000000000004">
      <c r="A5" t="s">
        <v>88</v>
      </c>
    </row>
    <row r="6" spans="1:2" x14ac:dyDescent="0.55000000000000004">
      <c r="A6" t="s">
        <v>71</v>
      </c>
    </row>
    <row r="7" spans="1:2" x14ac:dyDescent="0.55000000000000004">
      <c r="A7" t="s">
        <v>72</v>
      </c>
    </row>
    <row r="8" spans="1:2" x14ac:dyDescent="0.55000000000000004">
      <c r="A8" t="s">
        <v>13</v>
      </c>
    </row>
    <row r="9" spans="1:2" x14ac:dyDescent="0.55000000000000004">
      <c r="A9" t="s">
        <v>14</v>
      </c>
    </row>
    <row r="10" spans="1:2" x14ac:dyDescent="0.55000000000000004">
      <c r="A10" t="s">
        <v>16</v>
      </c>
    </row>
    <row r="11" spans="1:2" x14ac:dyDescent="0.55000000000000004">
      <c r="A11" t="s">
        <v>17</v>
      </c>
    </row>
    <row r="14" spans="1:2" x14ac:dyDescent="0.55000000000000004">
      <c r="A14" s="51" t="s">
        <v>123</v>
      </c>
    </row>
    <row r="15" spans="1:2" x14ac:dyDescent="0.55000000000000004">
      <c r="A15" s="30" t="s">
        <v>57</v>
      </c>
    </row>
    <row r="16" spans="1:2" ht="28.8" x14ac:dyDescent="0.55000000000000004">
      <c r="A16" s="30">
        <v>1</v>
      </c>
      <c r="B16" s="8" t="s">
        <v>60</v>
      </c>
    </row>
    <row r="17" spans="1:2" ht="28.8" x14ac:dyDescent="0.55000000000000004">
      <c r="A17" s="30">
        <v>2</v>
      </c>
      <c r="B17" s="8" t="s">
        <v>15</v>
      </c>
    </row>
    <row r="18" spans="1:2" x14ac:dyDescent="0.55000000000000004">
      <c r="A18" s="30">
        <v>3</v>
      </c>
      <c r="B18" s="8" t="s">
        <v>124</v>
      </c>
    </row>
    <row r="19" spans="1:2" x14ac:dyDescent="0.55000000000000004">
      <c r="A19" s="30"/>
    </row>
    <row r="20" spans="1:2" x14ac:dyDescent="0.55000000000000004">
      <c r="A20" s="30"/>
    </row>
    <row r="21" spans="1:2" x14ac:dyDescent="0.55000000000000004">
      <c r="A21" s="52" t="s">
        <v>125</v>
      </c>
    </row>
    <row r="22" spans="1:2" x14ac:dyDescent="0.55000000000000004">
      <c r="A22" s="30" t="s">
        <v>57</v>
      </c>
    </row>
    <row r="23" spans="1:2" x14ac:dyDescent="0.55000000000000004">
      <c r="A23" s="30">
        <v>1</v>
      </c>
      <c r="B23" s="8" t="s">
        <v>126</v>
      </c>
    </row>
    <row r="24" spans="1:2" ht="43.2" x14ac:dyDescent="0.55000000000000004">
      <c r="A24" s="30">
        <v>2</v>
      </c>
      <c r="B24" s="8" t="s">
        <v>140</v>
      </c>
    </row>
    <row r="25" spans="1:2" ht="43.2" x14ac:dyDescent="0.55000000000000004">
      <c r="A25" s="30">
        <v>3</v>
      </c>
      <c r="B25" s="8" t="s">
        <v>141</v>
      </c>
    </row>
    <row r="26" spans="1:2" ht="28.8" x14ac:dyDescent="0.55000000000000004">
      <c r="A26" s="30">
        <v>4</v>
      </c>
      <c r="B26" s="8" t="s">
        <v>84</v>
      </c>
    </row>
    <row r="27" spans="1:2" ht="43.2" x14ac:dyDescent="0.55000000000000004">
      <c r="A27" s="30">
        <v>5</v>
      </c>
      <c r="B27" s="8" t="s">
        <v>85</v>
      </c>
    </row>
    <row r="28" spans="1:2" x14ac:dyDescent="0.55000000000000004">
      <c r="A28" s="30"/>
    </row>
    <row r="29" spans="1:2" x14ac:dyDescent="0.55000000000000004">
      <c r="A29" s="30"/>
    </row>
    <row r="30" spans="1:2" x14ac:dyDescent="0.55000000000000004">
      <c r="A30" s="52" t="s">
        <v>86</v>
      </c>
    </row>
    <row r="31" spans="1:2" x14ac:dyDescent="0.55000000000000004">
      <c r="A31" s="30" t="s">
        <v>57</v>
      </c>
    </row>
    <row r="32" spans="1:2" x14ac:dyDescent="0.55000000000000004">
      <c r="A32" s="30">
        <v>1</v>
      </c>
      <c r="B32" s="8" t="s">
        <v>126</v>
      </c>
    </row>
    <row r="33" spans="1:2" ht="43.2" x14ac:dyDescent="0.55000000000000004">
      <c r="A33" s="30">
        <v>2</v>
      </c>
      <c r="B33" s="8" t="s">
        <v>142</v>
      </c>
    </row>
    <row r="34" spans="1:2" ht="43.2" x14ac:dyDescent="0.55000000000000004">
      <c r="A34" s="30">
        <v>3</v>
      </c>
      <c r="B34" s="8" t="s">
        <v>127</v>
      </c>
    </row>
    <row r="35" spans="1:2" ht="43.2" x14ac:dyDescent="0.55000000000000004">
      <c r="A35" s="30">
        <v>4</v>
      </c>
      <c r="B35" s="8" t="s">
        <v>128</v>
      </c>
    </row>
    <row r="36" spans="1:2" x14ac:dyDescent="0.55000000000000004">
      <c r="A36" s="30"/>
    </row>
    <row r="37" spans="1:2" x14ac:dyDescent="0.55000000000000004">
      <c r="A37" s="30"/>
    </row>
    <row r="38" spans="1:2" x14ac:dyDescent="0.55000000000000004">
      <c r="A38" s="52" t="s">
        <v>64</v>
      </c>
    </row>
    <row r="39" spans="1:2" x14ac:dyDescent="0.55000000000000004">
      <c r="A39" s="30" t="s">
        <v>57</v>
      </c>
    </row>
    <row r="40" spans="1:2" x14ac:dyDescent="0.55000000000000004">
      <c r="A40" s="30">
        <v>1</v>
      </c>
      <c r="B40" s="8" t="s">
        <v>126</v>
      </c>
    </row>
    <row r="41" spans="1:2" x14ac:dyDescent="0.55000000000000004">
      <c r="A41" s="30" t="s">
        <v>65</v>
      </c>
      <c r="B41" s="8" t="s">
        <v>66</v>
      </c>
    </row>
    <row r="42" spans="1:2" ht="57.6" x14ac:dyDescent="0.55000000000000004">
      <c r="A42" s="30">
        <v>2</v>
      </c>
      <c r="B42" s="8" t="s">
        <v>137</v>
      </c>
    </row>
    <row r="43" spans="1:2" ht="28.8" x14ac:dyDescent="0.55000000000000004">
      <c r="A43" s="30">
        <v>3</v>
      </c>
      <c r="B43" s="8" t="s">
        <v>136</v>
      </c>
    </row>
    <row r="44" spans="1:2" ht="43.2" x14ac:dyDescent="0.55000000000000004">
      <c r="A44" s="30">
        <v>4</v>
      </c>
      <c r="B44" s="8" t="s">
        <v>129</v>
      </c>
    </row>
    <row r="45" spans="1:2" ht="28.8" x14ac:dyDescent="0.55000000000000004">
      <c r="A45" s="30">
        <v>5</v>
      </c>
      <c r="B45" s="8" t="s">
        <v>130</v>
      </c>
    </row>
    <row r="46" spans="1:2" x14ac:dyDescent="0.55000000000000004">
      <c r="A46" s="30"/>
    </row>
    <row r="47" spans="1:2" x14ac:dyDescent="0.55000000000000004">
      <c r="A47" s="52" t="s">
        <v>68</v>
      </c>
    </row>
    <row r="48" spans="1:2" x14ac:dyDescent="0.55000000000000004">
      <c r="A48" s="30" t="s">
        <v>57</v>
      </c>
    </row>
    <row r="49" spans="1:2" x14ac:dyDescent="0.55000000000000004">
      <c r="A49" s="30">
        <v>1</v>
      </c>
      <c r="B49" s="8" t="s">
        <v>126</v>
      </c>
    </row>
    <row r="50" spans="1:2" ht="15.75" customHeight="1" x14ac:dyDescent="0.55000000000000004">
      <c r="A50" s="30" t="s">
        <v>65</v>
      </c>
      <c r="B50" s="8" t="s">
        <v>131</v>
      </c>
    </row>
    <row r="51" spans="1:2" ht="78" customHeight="1" x14ac:dyDescent="0.55000000000000004">
      <c r="A51" s="30">
        <v>2</v>
      </c>
      <c r="B51" s="8" t="s">
        <v>138</v>
      </c>
    </row>
    <row r="52" spans="1:2" ht="28.8" x14ac:dyDescent="0.55000000000000004">
      <c r="A52" s="30">
        <v>3</v>
      </c>
      <c r="B52" s="8" t="s">
        <v>139</v>
      </c>
    </row>
    <row r="53" spans="1:2" ht="43.2" x14ac:dyDescent="0.55000000000000004">
      <c r="A53" s="30">
        <v>4</v>
      </c>
      <c r="B53" s="8" t="s">
        <v>129</v>
      </c>
    </row>
    <row r="54" spans="1:2" ht="43.2" x14ac:dyDescent="0.55000000000000004">
      <c r="A54" s="30">
        <v>5</v>
      </c>
      <c r="B54" s="8" t="s">
        <v>132</v>
      </c>
    </row>
    <row r="55" spans="1:2" ht="28.8" x14ac:dyDescent="0.55000000000000004">
      <c r="A55" s="30">
        <v>6</v>
      </c>
      <c r="B55" s="8" t="s">
        <v>84</v>
      </c>
    </row>
    <row r="56" spans="1:2" ht="43.2" x14ac:dyDescent="0.55000000000000004">
      <c r="A56" s="30">
        <v>7</v>
      </c>
      <c r="B56" s="8" t="s">
        <v>133</v>
      </c>
    </row>
    <row r="59" spans="1:2" x14ac:dyDescent="0.55000000000000004">
      <c r="A59" s="33" t="s">
        <v>93</v>
      </c>
    </row>
    <row r="60" spans="1:2" x14ac:dyDescent="0.55000000000000004">
      <c r="A60" s="30" t="s">
        <v>57</v>
      </c>
    </row>
    <row r="61" spans="1:2" x14ac:dyDescent="0.55000000000000004">
      <c r="A61" s="30">
        <v>1</v>
      </c>
      <c r="B61" s="8" t="s">
        <v>126</v>
      </c>
    </row>
    <row r="62" spans="1:2" x14ac:dyDescent="0.55000000000000004">
      <c r="A62" s="30" t="s">
        <v>65</v>
      </c>
      <c r="B62" s="8" t="s">
        <v>131</v>
      </c>
    </row>
    <row r="63" spans="1:2" ht="74.25" customHeight="1" x14ac:dyDescent="0.55000000000000004">
      <c r="A63" s="30">
        <v>2</v>
      </c>
      <c r="B63" s="8" t="s">
        <v>143</v>
      </c>
    </row>
    <row r="64" spans="1:2" ht="28.8" x14ac:dyDescent="0.55000000000000004">
      <c r="A64" s="30">
        <v>3</v>
      </c>
      <c r="B64" s="8" t="s">
        <v>134</v>
      </c>
    </row>
    <row r="65" spans="1:2" ht="43.2" x14ac:dyDescent="0.55000000000000004">
      <c r="A65" s="30">
        <v>4</v>
      </c>
      <c r="B65" s="8" t="s">
        <v>135</v>
      </c>
    </row>
    <row r="66" spans="1:2" x14ac:dyDescent="0.55000000000000004">
      <c r="A66" s="30">
        <v>5</v>
      </c>
      <c r="B66" s="8" t="s">
        <v>87</v>
      </c>
    </row>
    <row r="67" spans="1:2" ht="43.2" x14ac:dyDescent="0.55000000000000004">
      <c r="A67" s="30">
        <v>6</v>
      </c>
      <c r="B67" s="8" t="s">
        <v>94</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opLeftCell="A25" workbookViewId="0">
      <selection activeCell="I42" sqref="I42"/>
    </sheetView>
  </sheetViews>
  <sheetFormatPr defaultColWidth="8.83984375" defaultRowHeight="14.4" x14ac:dyDescent="0.55000000000000004"/>
  <sheetData>
    <row r="1" spans="1:2" x14ac:dyDescent="0.55000000000000004">
      <c r="A1" s="18" t="s">
        <v>58</v>
      </c>
    </row>
    <row r="3" spans="1:2" x14ac:dyDescent="0.55000000000000004">
      <c r="A3" t="s">
        <v>82</v>
      </c>
    </row>
    <row r="5" spans="1:2" x14ac:dyDescent="0.55000000000000004">
      <c r="A5" s="33" t="s">
        <v>61</v>
      </c>
    </row>
    <row r="6" spans="1:2" x14ac:dyDescent="0.55000000000000004">
      <c r="A6" t="s">
        <v>89</v>
      </c>
    </row>
    <row r="7" spans="1:2" x14ac:dyDescent="0.55000000000000004">
      <c r="A7" t="s">
        <v>90</v>
      </c>
    </row>
    <row r="8" spans="1:2" x14ac:dyDescent="0.55000000000000004">
      <c r="A8" t="s">
        <v>62</v>
      </c>
    </row>
    <row r="9" spans="1:2" x14ac:dyDescent="0.55000000000000004">
      <c r="A9" s="31" t="s">
        <v>63</v>
      </c>
    </row>
    <row r="10" spans="1:2" x14ac:dyDescent="0.55000000000000004">
      <c r="A10" s="31" t="s">
        <v>0</v>
      </c>
    </row>
    <row r="12" spans="1:2" x14ac:dyDescent="0.55000000000000004">
      <c r="A12" s="33" t="s">
        <v>2</v>
      </c>
    </row>
    <row r="13" spans="1:2" x14ac:dyDescent="0.55000000000000004">
      <c r="A13" s="31" t="s">
        <v>1</v>
      </c>
      <c r="B13" s="31"/>
    </row>
    <row r="14" spans="1:2" x14ac:dyDescent="0.55000000000000004">
      <c r="A14" s="32">
        <v>0.2</v>
      </c>
      <c r="B14" s="31" t="s">
        <v>34</v>
      </c>
    </row>
    <row r="15" spans="1:2" x14ac:dyDescent="0.55000000000000004">
      <c r="A15" s="32">
        <v>0.2</v>
      </c>
      <c r="B15" s="31" t="s">
        <v>35</v>
      </c>
    </row>
    <row r="16" spans="1:2" x14ac:dyDescent="0.55000000000000004">
      <c r="A16" s="32">
        <v>0.1</v>
      </c>
      <c r="B16" s="31" t="s">
        <v>36</v>
      </c>
    </row>
    <row r="17" spans="1:2" x14ac:dyDescent="0.55000000000000004">
      <c r="A17" s="32">
        <v>0.15</v>
      </c>
      <c r="B17" s="31" t="s">
        <v>37</v>
      </c>
    </row>
    <row r="18" spans="1:2" x14ac:dyDescent="0.55000000000000004">
      <c r="A18" s="32">
        <v>0.05</v>
      </c>
      <c r="B18" s="31" t="s">
        <v>12</v>
      </c>
    </row>
    <row r="19" spans="1:2" x14ac:dyDescent="0.55000000000000004">
      <c r="A19" s="32">
        <v>0.3</v>
      </c>
      <c r="B19" s="31" t="s">
        <v>31</v>
      </c>
    </row>
    <row r="20" spans="1:2" x14ac:dyDescent="0.55000000000000004">
      <c r="A20" s="32">
        <f>SUM(A14:A19)</f>
        <v>1</v>
      </c>
      <c r="B20" s="31" t="s">
        <v>38</v>
      </c>
    </row>
    <row r="22" spans="1:2" x14ac:dyDescent="0.55000000000000004">
      <c r="A22" s="33" t="s">
        <v>3</v>
      </c>
    </row>
    <row r="23" spans="1:2" x14ac:dyDescent="0.55000000000000004">
      <c r="A23" t="s">
        <v>4</v>
      </c>
    </row>
    <row r="24" spans="1:2" x14ac:dyDescent="0.55000000000000004">
      <c r="A24" t="s">
        <v>5</v>
      </c>
    </row>
    <row r="25" spans="1:2" x14ac:dyDescent="0.55000000000000004">
      <c r="A25" t="s">
        <v>73</v>
      </c>
    </row>
    <row r="27" spans="1:2" x14ac:dyDescent="0.55000000000000004">
      <c r="A27" s="44" t="s">
        <v>6</v>
      </c>
    </row>
    <row r="28" spans="1:2" x14ac:dyDescent="0.55000000000000004">
      <c r="A28" t="s">
        <v>7</v>
      </c>
    </row>
    <row r="29" spans="1:2" x14ac:dyDescent="0.55000000000000004">
      <c r="A29" t="s">
        <v>8</v>
      </c>
    </row>
    <row r="30" spans="1:2" x14ac:dyDescent="0.55000000000000004">
      <c r="A30" t="s">
        <v>9</v>
      </c>
    </row>
    <row r="31" spans="1:2" x14ac:dyDescent="0.55000000000000004">
      <c r="A31" t="s">
        <v>10</v>
      </c>
    </row>
    <row r="33" spans="1:1" x14ac:dyDescent="0.55000000000000004">
      <c r="A33" s="44" t="s">
        <v>145</v>
      </c>
    </row>
    <row r="34" spans="1:1" x14ac:dyDescent="0.55000000000000004">
      <c r="A34" s="45" t="s">
        <v>146</v>
      </c>
    </row>
    <row r="35" spans="1:1" x14ac:dyDescent="0.55000000000000004">
      <c r="A35" t="s">
        <v>83</v>
      </c>
    </row>
    <row r="36" spans="1:1" x14ac:dyDescent="0.55000000000000004">
      <c r="A36" t="s">
        <v>151</v>
      </c>
    </row>
    <row r="37" spans="1:1" x14ac:dyDescent="0.55000000000000004">
      <c r="A37" t="s">
        <v>152</v>
      </c>
    </row>
    <row r="38" spans="1:1" x14ac:dyDescent="0.55000000000000004">
      <c r="A38" t="s">
        <v>153</v>
      </c>
    </row>
    <row r="40" spans="1:1" x14ac:dyDescent="0.55000000000000004">
      <c r="A40" t="s">
        <v>53</v>
      </c>
    </row>
  </sheetData>
  <hyperlinks>
    <hyperlink ref="A34" r:id="rId1"/>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workbookViewId="0">
      <selection activeCell="D2" sqref="D2"/>
    </sheetView>
  </sheetViews>
  <sheetFormatPr defaultColWidth="12.41796875" defaultRowHeight="14.4" x14ac:dyDescent="0.55000000000000004"/>
  <cols>
    <col min="1" max="1" width="29.41796875" customWidth="1"/>
    <col min="2" max="3" width="14.83984375" customWidth="1"/>
    <col min="4" max="4" width="15.83984375" customWidth="1"/>
    <col min="5" max="5" width="8.15625" customWidth="1"/>
    <col min="9" max="9" width="3.578125" customWidth="1"/>
    <col min="252" max="252" width="50.15625" customWidth="1"/>
    <col min="253" max="253" width="14.83984375" customWidth="1"/>
    <col min="254" max="254" width="15.83984375" customWidth="1"/>
    <col min="508" max="508" width="50.15625" customWidth="1"/>
    <col min="509" max="509" width="14.83984375" customWidth="1"/>
    <col min="510" max="510" width="15.83984375" customWidth="1"/>
    <col min="764" max="764" width="50.15625" customWidth="1"/>
    <col min="765" max="765" width="14.83984375" customWidth="1"/>
    <col min="766" max="766" width="15.83984375" customWidth="1"/>
    <col min="1020" max="1020" width="50.15625" customWidth="1"/>
    <col min="1021" max="1021" width="14.83984375" customWidth="1"/>
    <col min="1022" max="1022" width="15.83984375" customWidth="1"/>
    <col min="1276" max="1276" width="50.15625" customWidth="1"/>
    <col min="1277" max="1277" width="14.83984375" customWidth="1"/>
    <col min="1278" max="1278" width="15.83984375" customWidth="1"/>
    <col min="1532" max="1532" width="50.15625" customWidth="1"/>
    <col min="1533" max="1533" width="14.83984375" customWidth="1"/>
    <col min="1534" max="1534" width="15.83984375" customWidth="1"/>
    <col min="1788" max="1788" width="50.15625" customWidth="1"/>
    <col min="1789" max="1789" width="14.83984375" customWidth="1"/>
    <col min="1790" max="1790" width="15.83984375" customWidth="1"/>
    <col min="2044" max="2044" width="50.15625" customWidth="1"/>
    <col min="2045" max="2045" width="14.83984375" customWidth="1"/>
    <col min="2046" max="2046" width="15.83984375" customWidth="1"/>
    <col min="2300" max="2300" width="50.15625" customWidth="1"/>
    <col min="2301" max="2301" width="14.83984375" customWidth="1"/>
    <col min="2302" max="2302" width="15.83984375" customWidth="1"/>
    <col min="2556" max="2556" width="50.15625" customWidth="1"/>
    <col min="2557" max="2557" width="14.83984375" customWidth="1"/>
    <col min="2558" max="2558" width="15.83984375" customWidth="1"/>
    <col min="2812" max="2812" width="50.15625" customWidth="1"/>
    <col min="2813" max="2813" width="14.83984375" customWidth="1"/>
    <col min="2814" max="2814" width="15.83984375" customWidth="1"/>
    <col min="3068" max="3068" width="50.15625" customWidth="1"/>
    <col min="3069" max="3069" width="14.83984375" customWidth="1"/>
    <col min="3070" max="3070" width="15.83984375" customWidth="1"/>
    <col min="3324" max="3324" width="50.15625" customWidth="1"/>
    <col min="3325" max="3325" width="14.83984375" customWidth="1"/>
    <col min="3326" max="3326" width="15.83984375" customWidth="1"/>
    <col min="3580" max="3580" width="50.15625" customWidth="1"/>
    <col min="3581" max="3581" width="14.83984375" customWidth="1"/>
    <col min="3582" max="3582" width="15.83984375" customWidth="1"/>
    <col min="3836" max="3836" width="50.15625" customWidth="1"/>
    <col min="3837" max="3837" width="14.83984375" customWidth="1"/>
    <col min="3838" max="3838" width="15.83984375" customWidth="1"/>
    <col min="4092" max="4092" width="50.15625" customWidth="1"/>
    <col min="4093" max="4093" width="14.83984375" customWidth="1"/>
    <col min="4094" max="4094" width="15.83984375" customWidth="1"/>
    <col min="4348" max="4348" width="50.15625" customWidth="1"/>
    <col min="4349" max="4349" width="14.83984375" customWidth="1"/>
    <col min="4350" max="4350" width="15.83984375" customWidth="1"/>
    <col min="4604" max="4604" width="50.15625" customWidth="1"/>
    <col min="4605" max="4605" width="14.83984375" customWidth="1"/>
    <col min="4606" max="4606" width="15.83984375" customWidth="1"/>
    <col min="4860" max="4860" width="50.15625" customWidth="1"/>
    <col min="4861" max="4861" width="14.83984375" customWidth="1"/>
    <col min="4862" max="4862" width="15.83984375" customWidth="1"/>
    <col min="5116" max="5116" width="50.15625" customWidth="1"/>
    <col min="5117" max="5117" width="14.83984375" customWidth="1"/>
    <col min="5118" max="5118" width="15.83984375" customWidth="1"/>
    <col min="5372" max="5372" width="50.15625" customWidth="1"/>
    <col min="5373" max="5373" width="14.83984375" customWidth="1"/>
    <col min="5374" max="5374" width="15.83984375" customWidth="1"/>
    <col min="5628" max="5628" width="50.15625" customWidth="1"/>
    <col min="5629" max="5629" width="14.83984375" customWidth="1"/>
    <col min="5630" max="5630" width="15.83984375" customWidth="1"/>
    <col min="5884" max="5884" width="50.15625" customWidth="1"/>
    <col min="5885" max="5885" width="14.83984375" customWidth="1"/>
    <col min="5886" max="5886" width="15.83984375" customWidth="1"/>
    <col min="6140" max="6140" width="50.15625" customWidth="1"/>
    <col min="6141" max="6141" width="14.83984375" customWidth="1"/>
    <col min="6142" max="6142" width="15.83984375" customWidth="1"/>
    <col min="6396" max="6396" width="50.15625" customWidth="1"/>
    <col min="6397" max="6397" width="14.83984375" customWidth="1"/>
    <col min="6398" max="6398" width="15.83984375" customWidth="1"/>
    <col min="6652" max="6652" width="50.15625" customWidth="1"/>
    <col min="6653" max="6653" width="14.83984375" customWidth="1"/>
    <col min="6654" max="6654" width="15.83984375" customWidth="1"/>
    <col min="6908" max="6908" width="50.15625" customWidth="1"/>
    <col min="6909" max="6909" width="14.83984375" customWidth="1"/>
    <col min="6910" max="6910" width="15.83984375" customWidth="1"/>
    <col min="7164" max="7164" width="50.15625" customWidth="1"/>
    <col min="7165" max="7165" width="14.83984375" customWidth="1"/>
    <col min="7166" max="7166" width="15.83984375" customWidth="1"/>
    <col min="7420" max="7420" width="50.15625" customWidth="1"/>
    <col min="7421" max="7421" width="14.83984375" customWidth="1"/>
    <col min="7422" max="7422" width="15.83984375" customWidth="1"/>
    <col min="7676" max="7676" width="50.15625" customWidth="1"/>
    <col min="7677" max="7677" width="14.83984375" customWidth="1"/>
    <col min="7678" max="7678" width="15.83984375" customWidth="1"/>
    <col min="7932" max="7932" width="50.15625" customWidth="1"/>
    <col min="7933" max="7933" width="14.83984375" customWidth="1"/>
    <col min="7934" max="7934" width="15.83984375" customWidth="1"/>
    <col min="8188" max="8188" width="50.15625" customWidth="1"/>
    <col min="8189" max="8189" width="14.83984375" customWidth="1"/>
    <col min="8190" max="8190" width="15.83984375" customWidth="1"/>
    <col min="8444" max="8444" width="50.15625" customWidth="1"/>
    <col min="8445" max="8445" width="14.83984375" customWidth="1"/>
    <col min="8446" max="8446" width="15.83984375" customWidth="1"/>
    <col min="8700" max="8700" width="50.15625" customWidth="1"/>
    <col min="8701" max="8701" width="14.83984375" customWidth="1"/>
    <col min="8702" max="8702" width="15.83984375" customWidth="1"/>
    <col min="8956" max="8956" width="50.15625" customWidth="1"/>
    <col min="8957" max="8957" width="14.83984375" customWidth="1"/>
    <col min="8958" max="8958" width="15.83984375" customWidth="1"/>
    <col min="9212" max="9212" width="50.15625" customWidth="1"/>
    <col min="9213" max="9213" width="14.83984375" customWidth="1"/>
    <col min="9214" max="9214" width="15.83984375" customWidth="1"/>
    <col min="9468" max="9468" width="50.15625" customWidth="1"/>
    <col min="9469" max="9469" width="14.83984375" customWidth="1"/>
    <col min="9470" max="9470" width="15.83984375" customWidth="1"/>
    <col min="9724" max="9724" width="50.15625" customWidth="1"/>
    <col min="9725" max="9725" width="14.83984375" customWidth="1"/>
    <col min="9726" max="9726" width="15.83984375" customWidth="1"/>
    <col min="9980" max="9980" width="50.15625" customWidth="1"/>
    <col min="9981" max="9981" width="14.83984375" customWidth="1"/>
    <col min="9982" max="9982" width="15.83984375" customWidth="1"/>
    <col min="10236" max="10236" width="50.15625" customWidth="1"/>
    <col min="10237" max="10237" width="14.83984375" customWidth="1"/>
    <col min="10238" max="10238" width="15.83984375" customWidth="1"/>
    <col min="10492" max="10492" width="50.15625" customWidth="1"/>
    <col min="10493" max="10493" width="14.83984375" customWidth="1"/>
    <col min="10494" max="10494" width="15.83984375" customWidth="1"/>
    <col min="10748" max="10748" width="50.15625" customWidth="1"/>
    <col min="10749" max="10749" width="14.83984375" customWidth="1"/>
    <col min="10750" max="10750" width="15.83984375" customWidth="1"/>
    <col min="11004" max="11004" width="50.15625" customWidth="1"/>
    <col min="11005" max="11005" width="14.83984375" customWidth="1"/>
    <col min="11006" max="11006" width="15.83984375" customWidth="1"/>
    <col min="11260" max="11260" width="50.15625" customWidth="1"/>
    <col min="11261" max="11261" width="14.83984375" customWidth="1"/>
    <col min="11262" max="11262" width="15.83984375" customWidth="1"/>
    <col min="11516" max="11516" width="50.15625" customWidth="1"/>
    <col min="11517" max="11517" width="14.83984375" customWidth="1"/>
    <col min="11518" max="11518" width="15.83984375" customWidth="1"/>
    <col min="11772" max="11772" width="50.15625" customWidth="1"/>
    <col min="11773" max="11773" width="14.83984375" customWidth="1"/>
    <col min="11774" max="11774" width="15.83984375" customWidth="1"/>
    <col min="12028" max="12028" width="50.15625" customWidth="1"/>
    <col min="12029" max="12029" width="14.83984375" customWidth="1"/>
    <col min="12030" max="12030" width="15.83984375" customWidth="1"/>
    <col min="12284" max="12284" width="50.15625" customWidth="1"/>
    <col min="12285" max="12285" width="14.83984375" customWidth="1"/>
    <col min="12286" max="12286" width="15.83984375" customWidth="1"/>
    <col min="12540" max="12540" width="50.15625" customWidth="1"/>
    <col min="12541" max="12541" width="14.83984375" customWidth="1"/>
    <col min="12542" max="12542" width="15.83984375" customWidth="1"/>
    <col min="12796" max="12796" width="50.15625" customWidth="1"/>
    <col min="12797" max="12797" width="14.83984375" customWidth="1"/>
    <col min="12798" max="12798" width="15.83984375" customWidth="1"/>
    <col min="13052" max="13052" width="50.15625" customWidth="1"/>
    <col min="13053" max="13053" width="14.83984375" customWidth="1"/>
    <col min="13054" max="13054" width="15.83984375" customWidth="1"/>
    <col min="13308" max="13308" width="50.15625" customWidth="1"/>
    <col min="13309" max="13309" width="14.83984375" customWidth="1"/>
    <col min="13310" max="13310" width="15.83984375" customWidth="1"/>
    <col min="13564" max="13564" width="50.15625" customWidth="1"/>
    <col min="13565" max="13565" width="14.83984375" customWidth="1"/>
    <col min="13566" max="13566" width="15.83984375" customWidth="1"/>
    <col min="13820" max="13820" width="50.15625" customWidth="1"/>
    <col min="13821" max="13821" width="14.83984375" customWidth="1"/>
    <col min="13822" max="13822" width="15.83984375" customWidth="1"/>
    <col min="14076" max="14076" width="50.15625" customWidth="1"/>
    <col min="14077" max="14077" width="14.83984375" customWidth="1"/>
    <col min="14078" max="14078" width="15.83984375" customWidth="1"/>
    <col min="14332" max="14332" width="50.15625" customWidth="1"/>
    <col min="14333" max="14333" width="14.83984375" customWidth="1"/>
    <col min="14334" max="14334" width="15.83984375" customWidth="1"/>
    <col min="14588" max="14588" width="50.15625" customWidth="1"/>
    <col min="14589" max="14589" width="14.83984375" customWidth="1"/>
    <col min="14590" max="14590" width="15.83984375" customWidth="1"/>
    <col min="14844" max="14844" width="50.15625" customWidth="1"/>
    <col min="14845" max="14845" width="14.83984375" customWidth="1"/>
    <col min="14846" max="14846" width="15.83984375" customWidth="1"/>
    <col min="15100" max="15100" width="50.15625" customWidth="1"/>
    <col min="15101" max="15101" width="14.83984375" customWidth="1"/>
    <col min="15102" max="15102" width="15.83984375" customWidth="1"/>
    <col min="15356" max="15356" width="50.15625" customWidth="1"/>
    <col min="15357" max="15357" width="14.83984375" customWidth="1"/>
    <col min="15358" max="15358" width="15.83984375" customWidth="1"/>
    <col min="15612" max="15612" width="50.15625" customWidth="1"/>
    <col min="15613" max="15613" width="14.83984375" customWidth="1"/>
    <col min="15614" max="15614" width="15.83984375" customWidth="1"/>
    <col min="15868" max="15868" width="50.15625" customWidth="1"/>
    <col min="15869" max="15869" width="14.83984375" customWidth="1"/>
    <col min="15870" max="15870" width="15.83984375" customWidth="1"/>
    <col min="16124" max="16124" width="50.15625" customWidth="1"/>
    <col min="16125" max="16125" width="14.83984375" customWidth="1"/>
    <col min="16126" max="16126" width="15.83984375" customWidth="1"/>
  </cols>
  <sheetData>
    <row r="1" spans="1:11" x14ac:dyDescent="0.55000000000000004">
      <c r="A1" s="18" t="s">
        <v>106</v>
      </c>
    </row>
    <row r="3" spans="1:11" x14ac:dyDescent="0.55000000000000004">
      <c r="A3" s="62" t="s">
        <v>149</v>
      </c>
    </row>
    <row r="5" spans="1:11" ht="43.2" x14ac:dyDescent="0.55000000000000004">
      <c r="A5" t="s">
        <v>74</v>
      </c>
      <c r="B5" s="37" t="s">
        <v>75</v>
      </c>
      <c r="C5" s="37" t="s">
        <v>107</v>
      </c>
      <c r="D5" s="37" t="s">
        <v>105</v>
      </c>
      <c r="F5" s="37" t="s">
        <v>102</v>
      </c>
      <c r="G5" s="37" t="s">
        <v>103</v>
      </c>
      <c r="H5" s="37" t="s">
        <v>104</v>
      </c>
      <c r="J5" s="37" t="s">
        <v>102</v>
      </c>
      <c r="K5" s="37" t="s">
        <v>103</v>
      </c>
    </row>
    <row r="6" spans="1:11" x14ac:dyDescent="0.55000000000000004">
      <c r="A6" s="9" t="s">
        <v>46</v>
      </c>
      <c r="B6" s="10">
        <f>'Rebalanced Strategy'!I30</f>
        <v>175726.78814027077</v>
      </c>
      <c r="C6" s="10">
        <f>'Non-Rebalanced Strategy'!I30</f>
        <v>168685.59524318812</v>
      </c>
      <c r="D6" s="10">
        <f>'Panic Portfolio'!I30</f>
        <v>151014.8881022321</v>
      </c>
      <c r="E6" s="38"/>
      <c r="F6" s="6">
        <f>(B6-D6)/D6</f>
        <v>0.16363883288983752</v>
      </c>
      <c r="G6" s="6">
        <f>(C6-D6)/D6</f>
        <v>0.11701301350495674</v>
      </c>
      <c r="H6" s="6">
        <f>(B6-C6)/C6</f>
        <v>4.1741518515150122E-2</v>
      </c>
      <c r="J6" s="2">
        <f>B6-D6</f>
        <v>24711.900038038671</v>
      </c>
      <c r="K6" s="2">
        <f>C6-D6</f>
        <v>17670.707140956016</v>
      </c>
    </row>
    <row r="7" spans="1:11" x14ac:dyDescent="0.55000000000000004">
      <c r="A7" s="11" t="s">
        <v>76</v>
      </c>
      <c r="B7" s="39">
        <f>'Rebalanced Strategy'!I31</f>
        <v>0.75726788140270773</v>
      </c>
      <c r="C7" s="39">
        <f>'Non-Rebalanced Strategy'!I31</f>
        <v>0.68685595243188113</v>
      </c>
      <c r="D7" s="39">
        <f>'Panic Portfolio'!I31</f>
        <v>0.51014888102232103</v>
      </c>
      <c r="F7" s="6">
        <f>(B7-D7)/D7</f>
        <v>0.48440565014112863</v>
      </c>
      <c r="G7" s="6">
        <f>(C7-D7)/D7</f>
        <v>0.34638333628301826</v>
      </c>
      <c r="H7" s="6">
        <f t="shared" ref="H7:H11" si="0">(B7-C7)/C7</f>
        <v>0.10251338540712392</v>
      </c>
    </row>
    <row r="8" spans="1:11" x14ac:dyDescent="0.55000000000000004">
      <c r="A8" s="1" t="s">
        <v>48</v>
      </c>
      <c r="B8" s="39">
        <f>'Rebalanced Strategy'!I32</f>
        <v>0.14576682225613397</v>
      </c>
      <c r="C8" s="39">
        <f>'Non-Rebalanced Strategy'!I32</f>
        <v>0.13780760891125177</v>
      </c>
      <c r="D8" s="39">
        <f>'Panic Portfolio'!I32</f>
        <v>0.13073592019797181</v>
      </c>
      <c r="F8" s="6">
        <f>(B8-D8)/D8</f>
        <v>0.11497147865254662</v>
      </c>
      <c r="G8" s="6">
        <f>(C8-D8)/D8</f>
        <v>5.4091398160286658E-2</v>
      </c>
      <c r="H8" s="6">
        <f t="shared" si="0"/>
        <v>5.7755978844447844E-2</v>
      </c>
    </row>
    <row r="9" spans="1:11" x14ac:dyDescent="0.55000000000000004">
      <c r="A9" s="1" t="s">
        <v>77</v>
      </c>
      <c r="B9" s="39">
        <f>'Rebalanced Strategy'!I33</f>
        <v>5.7995443039675409E-2</v>
      </c>
      <c r="C9" s="39">
        <f>'Non-Rebalanced Strategy'!I33</f>
        <v>5.3677726794271852E-2</v>
      </c>
      <c r="D9" s="39">
        <f>'Panic Portfolio'!I33</f>
        <v>4.2082197176984248E-2</v>
      </c>
      <c r="F9" s="6">
        <f>(B9-D9)/D9</f>
        <v>0.37814674447166208</v>
      </c>
      <c r="G9" s="6">
        <f>(C9-D9)/D9</f>
        <v>0.2755447765362754</v>
      </c>
      <c r="H9" s="6">
        <f t="shared" si="0"/>
        <v>8.0437762611517985E-2</v>
      </c>
    </row>
    <row r="10" spans="1:11" x14ac:dyDescent="0.55000000000000004">
      <c r="A10" s="1" t="s">
        <v>50</v>
      </c>
      <c r="B10" s="2">
        <f>'Rebalanced Strategy'!I34</f>
        <v>-28889.650571999999</v>
      </c>
      <c r="C10" s="2">
        <f>'Non-Rebalanced Strategy'!I34</f>
        <v>-28889.650571999999</v>
      </c>
      <c r="D10" s="40">
        <f>'Panic Portfolio'!I34</f>
        <v>-28889.650571999999</v>
      </c>
      <c r="F10" s="2">
        <f>B10-D10</f>
        <v>0</v>
      </c>
      <c r="G10" s="2">
        <f>C10-D10</f>
        <v>0</v>
      </c>
      <c r="H10" s="2">
        <f>B10-C10</f>
        <v>0</v>
      </c>
    </row>
    <row r="11" spans="1:11" x14ac:dyDescent="0.55000000000000004">
      <c r="A11" s="1" t="s">
        <v>78</v>
      </c>
      <c r="B11" s="6">
        <f>'Rebalanced Strategy'!I35</f>
        <v>-0.26854558425405889</v>
      </c>
      <c r="C11" s="6">
        <f>'Non-Rebalanced Strategy'!I35</f>
        <v>-0.26854558425405889</v>
      </c>
      <c r="D11" s="12">
        <f>'Panic Portfolio'!I35</f>
        <v>-0.26854558425405889</v>
      </c>
      <c r="F11" s="6">
        <f>(B11-D11)/D11</f>
        <v>0</v>
      </c>
      <c r="G11" s="6">
        <f>(C11-D11)/D11</f>
        <v>0</v>
      </c>
      <c r="H11" s="6">
        <f t="shared" si="0"/>
        <v>0</v>
      </c>
    </row>
    <row r="12" spans="1:11" x14ac:dyDescent="0.55000000000000004">
      <c r="A12" s="1" t="s">
        <v>98</v>
      </c>
      <c r="B12" s="6">
        <f>SUM('Rebalanced Strategy'!P29:U29)</f>
        <v>0.71527699207284356</v>
      </c>
      <c r="C12" s="6">
        <f>SUM('Non-Rebalanced Strategy'!P29:U29)</f>
        <v>0.73217448802509488</v>
      </c>
      <c r="D12" s="12">
        <f>SUM('Panic Portfolio'!P29:U29)</f>
        <v>0.79041185725530427</v>
      </c>
      <c r="F12" s="6">
        <f>B12-D12</f>
        <v>-7.5134865182460708E-2</v>
      </c>
      <c r="G12" s="6">
        <f>(C12-D12)/D12</f>
        <v>-7.3679776809571093E-2</v>
      </c>
    </row>
    <row r="13" spans="1:11" x14ac:dyDescent="0.55000000000000004">
      <c r="A13" s="1" t="s">
        <v>99</v>
      </c>
      <c r="B13" s="6">
        <f>'Rebalanced Strategy'!V29</f>
        <v>0.28472300792715649</v>
      </c>
      <c r="C13" s="6">
        <f>'Non-Rebalanced Strategy'!V29</f>
        <v>0.26782551197490517</v>
      </c>
      <c r="D13" s="12">
        <f>'Panic Portfolio'!V29</f>
        <v>0.20958814274469573</v>
      </c>
      <c r="F13" s="7">
        <f>B13-D13</f>
        <v>7.5134865182460764E-2</v>
      </c>
      <c r="G13" s="6">
        <f>(C13-D13)/D13</f>
        <v>0.27786576314648564</v>
      </c>
    </row>
    <row r="14" spans="1:11" hidden="1" x14ac:dyDescent="0.55000000000000004">
      <c r="A14" s="3" t="s">
        <v>100</v>
      </c>
      <c r="B14" s="59">
        <f>SUM(B12:B13)</f>
        <v>1</v>
      </c>
      <c r="C14" s="59">
        <f>SUM(C12:C13)</f>
        <v>1</v>
      </c>
      <c r="D14" s="59">
        <f>SUM(D12:D13)</f>
        <v>1</v>
      </c>
    </row>
    <row r="15" spans="1:11" x14ac:dyDescent="0.55000000000000004">
      <c r="B15" s="6"/>
      <c r="C15" s="6"/>
    </row>
    <row r="16" spans="1:11" x14ac:dyDescent="0.55000000000000004">
      <c r="A16" s="62" t="s">
        <v>150</v>
      </c>
    </row>
    <row r="18" spans="1:11" ht="43.2" x14ac:dyDescent="0.55000000000000004">
      <c r="A18" t="s">
        <v>74</v>
      </c>
      <c r="B18" s="37" t="s">
        <v>75</v>
      </c>
      <c r="C18" s="37" t="s">
        <v>107</v>
      </c>
      <c r="D18" s="37" t="s">
        <v>105</v>
      </c>
      <c r="F18" s="37" t="s">
        <v>102</v>
      </c>
      <c r="G18" s="37" t="s">
        <v>103</v>
      </c>
      <c r="H18" s="37" t="s">
        <v>104</v>
      </c>
      <c r="J18" s="37" t="s">
        <v>102</v>
      </c>
      <c r="K18" s="37" t="s">
        <v>103</v>
      </c>
    </row>
    <row r="19" spans="1:11" x14ac:dyDescent="0.55000000000000004">
      <c r="A19" s="9" t="s">
        <v>46</v>
      </c>
      <c r="B19" s="10">
        <f>'4% Withdrawals-Rebalanced'!I30</f>
        <v>110326.38001112615</v>
      </c>
      <c r="C19" s="10">
        <f>'4% Withdrawals-No Rebalancing'!I30</f>
        <v>99425.287367396188</v>
      </c>
      <c r="D19" s="10">
        <f>'4% Withdrawals-Panic'!I30</f>
        <v>86319.242614398376</v>
      </c>
      <c r="F19" s="6">
        <f>(B19-D19)/D19</f>
        <v>0.27812034338590563</v>
      </c>
      <c r="G19" s="6">
        <f>(C19-D19)/D19</f>
        <v>0.15183224917234936</v>
      </c>
      <c r="H19" s="6">
        <f>(B19-C19)/C19</f>
        <v>0.10964104738715275</v>
      </c>
      <c r="J19" s="2">
        <f>B19-D19</f>
        <v>24007.137396727776</v>
      </c>
      <c r="K19" s="2">
        <f>C19-D19</f>
        <v>13106.044752997812</v>
      </c>
    </row>
    <row r="20" spans="1:11" x14ac:dyDescent="0.55000000000000004">
      <c r="A20" s="11" t="s">
        <v>76</v>
      </c>
      <c r="B20" s="39">
        <f>'4% Withdrawals-Rebalanced'!I31</f>
        <v>0.10326380011126152</v>
      </c>
      <c r="C20" s="39">
        <f>'4% Withdrawals-No Rebalancing'!I31</f>
        <v>-5.7471263260381236E-3</v>
      </c>
      <c r="D20" s="39">
        <f>'4% Withdrawals-Panic'!I31</f>
        <v>-0.13680757385601625</v>
      </c>
      <c r="F20" s="6">
        <f>(B20-D20)/D20</f>
        <v>-1.7548105503277325</v>
      </c>
      <c r="G20" s="6">
        <f>(C20-D20)/D20</f>
        <v>-0.95799116844154608</v>
      </c>
      <c r="H20" s="6">
        <f t="shared" ref="H20:H22" si="1">(B20-C20)/C20</f>
        <v>-18.967901565589585</v>
      </c>
    </row>
    <row r="21" spans="1:11" x14ac:dyDescent="0.55000000000000004">
      <c r="A21" s="1" t="s">
        <v>48</v>
      </c>
      <c r="B21" s="39">
        <f>'4% Withdrawals-Rebalanced'!I32</f>
        <v>0.14041818964139585</v>
      </c>
      <c r="C21" s="39">
        <f>'4% Withdrawals-No Rebalancing'!I32</f>
        <v>0.14390597204642941</v>
      </c>
      <c r="D21" s="39">
        <f>'4% Withdrawals-Panic'!I32</f>
        <v>0.12366291454519816</v>
      </c>
      <c r="F21" s="6">
        <f>(B21-D21)/D21</f>
        <v>0.13549151059409748</v>
      </c>
      <c r="G21" s="6">
        <f>(C21-D21)/D21</f>
        <v>0.16369545854292891</v>
      </c>
      <c r="H21" s="6">
        <f t="shared" si="1"/>
        <v>-2.4236536923625859E-2</v>
      </c>
    </row>
    <row r="22" spans="1:11" x14ac:dyDescent="0.55000000000000004">
      <c r="A22" s="1" t="s">
        <v>77</v>
      </c>
      <c r="B22" s="39">
        <f>'4% Withdrawals-Rebalanced'!I33</f>
        <v>9.8757341299484658E-3</v>
      </c>
      <c r="C22" s="39">
        <f>'4% Withdrawals-No Rebalancing'!I33</f>
        <v>-5.7620439099015375E-4</v>
      </c>
      <c r="D22" s="39">
        <f>'4% Withdrawals-Panic'!I33</f>
        <v>-1.4604074671347389E-2</v>
      </c>
      <c r="F22" s="6">
        <f>(B22-D22)/D22</f>
        <v>-1.6762314184358604</v>
      </c>
      <c r="G22" s="6">
        <f>(C22-D22)/D22</f>
        <v>-0.9605449572152186</v>
      </c>
      <c r="H22" s="6">
        <f t="shared" si="1"/>
        <v>-18.139289954000407</v>
      </c>
    </row>
    <row r="23" spans="1:11" x14ac:dyDescent="0.55000000000000004">
      <c r="A23" s="1" t="s">
        <v>50</v>
      </c>
      <c r="B23" s="2">
        <f>'4% Withdrawals-Rebalanced'!I34</f>
        <v>-31867.716366959998</v>
      </c>
      <c r="C23" s="2">
        <f>'4% Withdrawals-No Rebalancing'!I34</f>
        <v>-31867.716366959998</v>
      </c>
      <c r="D23" s="40">
        <f>'4% Withdrawals-Panic'!I34</f>
        <v>-31867.716366959998</v>
      </c>
      <c r="F23" s="2">
        <f>B23-D23</f>
        <v>0</v>
      </c>
      <c r="G23" s="2">
        <f>C23-D23</f>
        <v>0</v>
      </c>
      <c r="H23" s="2">
        <f>B23-C23</f>
        <v>0</v>
      </c>
    </row>
    <row r="24" spans="1:11" x14ac:dyDescent="0.55000000000000004">
      <c r="A24" s="1" t="s">
        <v>78</v>
      </c>
      <c r="B24" s="6">
        <f>'4% Withdrawals-Rebalanced'!I35</f>
        <v>-0.308571233597978</v>
      </c>
      <c r="C24" s="39">
        <f>'4% Withdrawals-No Rebalancing'!I35</f>
        <v>-0.2962283842540589</v>
      </c>
      <c r="D24" s="39">
        <f>'4% Withdrawals-Panic'!I35</f>
        <v>-0.308571233597978</v>
      </c>
      <c r="F24" s="6">
        <f>(B24-D24)/D24</f>
        <v>0</v>
      </c>
      <c r="G24" s="6">
        <f>(C24-D24)/D24</f>
        <v>-3.9999999999999952E-2</v>
      </c>
      <c r="H24" s="6">
        <f t="shared" ref="H24" si="2">(B24-C24)/C24</f>
        <v>4.1666666666666609E-2</v>
      </c>
    </row>
    <row r="25" spans="1:11" x14ac:dyDescent="0.55000000000000004">
      <c r="A25" s="1" t="s">
        <v>81</v>
      </c>
      <c r="B25" s="2">
        <f>'4% Withdrawals-Rebalanced'!I36</f>
        <v>46178.116777487026</v>
      </c>
      <c r="C25" s="2">
        <f>'4% Withdrawals-No Rebalancing'!I36</f>
        <v>46178.116777487026</v>
      </c>
      <c r="D25" s="40">
        <f>'4% Withdrawals-Panic'!I36</f>
        <v>46178.116777487026</v>
      </c>
      <c r="F25" s="2">
        <f>B25-D25</f>
        <v>0</v>
      </c>
      <c r="G25" s="2">
        <f>C25-D25</f>
        <v>0</v>
      </c>
    </row>
    <row r="26" spans="1:11" x14ac:dyDescent="0.55000000000000004">
      <c r="A26" s="1" t="s">
        <v>98</v>
      </c>
      <c r="B26" s="6">
        <f>SUM('4% Withdrawals-Rebalanced'!AH29:AM29)</f>
        <v>0.70224130930618567</v>
      </c>
      <c r="C26" s="6">
        <f>SUM('4% Withdrawals-No Rebalancing'!AH29:AM29)</f>
        <v>0.65198120868282061</v>
      </c>
      <c r="D26" s="12">
        <f>SUM('4% Withdrawals-Panic'!AH29:AM29)</f>
        <v>0.7688586860730946</v>
      </c>
    </row>
    <row r="27" spans="1:11" x14ac:dyDescent="0.55000000000000004">
      <c r="A27" s="1" t="s">
        <v>99</v>
      </c>
      <c r="B27" s="6">
        <f>'4% Withdrawals-Rebalanced'!AN29</f>
        <v>0.29775869069381417</v>
      </c>
      <c r="C27" s="6">
        <f>'4% Withdrawals-No Rebalancing'!AN29</f>
        <v>0.34801879131717944</v>
      </c>
      <c r="D27" s="12">
        <f>'4% Withdrawals-Panic'!AN29</f>
        <v>0.23114131392690535</v>
      </c>
    </row>
    <row r="28" spans="1:11" x14ac:dyDescent="0.55000000000000004">
      <c r="A28" s="3" t="s">
        <v>100</v>
      </c>
      <c r="B28" s="59">
        <f>SUM(B26:B27)</f>
        <v>0.99999999999999978</v>
      </c>
      <c r="C28" s="59">
        <f>SUM(C26:C27)</f>
        <v>1</v>
      </c>
      <c r="D28" s="59">
        <f>SUM(D26:D27)</f>
        <v>1</v>
      </c>
    </row>
    <row r="30" spans="1:11" x14ac:dyDescent="0.55000000000000004">
      <c r="F30" s="6">
        <f>B30-D30</f>
        <v>0</v>
      </c>
      <c r="G30" s="6" t="e">
        <f>(C30-D30)/D30</f>
        <v>#DIV/0!</v>
      </c>
    </row>
    <row r="31" spans="1:11" x14ac:dyDescent="0.55000000000000004">
      <c r="F31" s="7">
        <f>B31-D31</f>
        <v>0</v>
      </c>
      <c r="G31" s="6" t="e">
        <f>(C31-D31)/D31</f>
        <v>#DIV/0!</v>
      </c>
    </row>
  </sheetData>
  <phoneticPr fontId="10" type="noConversion"/>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topLeftCell="A17" workbookViewId="0">
      <selection activeCell="A38" sqref="A38:I38"/>
    </sheetView>
  </sheetViews>
  <sheetFormatPr defaultColWidth="8.83984375" defaultRowHeight="14.4" x14ac:dyDescent="0.55000000000000004"/>
  <cols>
    <col min="1" max="1" width="25.41796875" customWidth="1"/>
    <col min="9" max="9" width="11.68359375" customWidth="1"/>
    <col min="10" max="10" width="10" bestFit="1" customWidth="1"/>
  </cols>
  <sheetData>
    <row r="1" spans="1:17" x14ac:dyDescent="0.55000000000000004">
      <c r="A1" s="18" t="s">
        <v>19</v>
      </c>
      <c r="J1" s="18" t="s">
        <v>101</v>
      </c>
    </row>
    <row r="2" spans="1:17" x14ac:dyDescent="0.55000000000000004">
      <c r="A2" s="14"/>
      <c r="B2" s="14" t="s">
        <v>20</v>
      </c>
      <c r="C2" s="14" t="s">
        <v>21</v>
      </c>
      <c r="D2" s="14" t="s">
        <v>22</v>
      </c>
      <c r="E2" s="14" t="s">
        <v>23</v>
      </c>
      <c r="F2" s="14" t="s">
        <v>28</v>
      </c>
      <c r="G2" s="14" t="s">
        <v>30</v>
      </c>
      <c r="H2" s="14" t="s">
        <v>31</v>
      </c>
      <c r="J2" s="16"/>
      <c r="K2" s="16" t="s">
        <v>20</v>
      </c>
      <c r="L2" s="16" t="s">
        <v>21</v>
      </c>
      <c r="M2" s="16" t="s">
        <v>22</v>
      </c>
      <c r="N2" s="16" t="s">
        <v>23</v>
      </c>
      <c r="O2" s="16" t="s">
        <v>28</v>
      </c>
      <c r="P2" s="16" t="s">
        <v>30</v>
      </c>
      <c r="Q2" s="16" t="s">
        <v>31</v>
      </c>
    </row>
    <row r="3" spans="1:17" x14ac:dyDescent="0.55000000000000004">
      <c r="A3" s="14" t="s">
        <v>18</v>
      </c>
      <c r="B3" s="14" t="s">
        <v>24</v>
      </c>
      <c r="C3" s="14" t="s">
        <v>25</v>
      </c>
      <c r="D3" s="14" t="s">
        <v>26</v>
      </c>
      <c r="E3" s="14" t="s">
        <v>27</v>
      </c>
      <c r="F3" s="14" t="s">
        <v>29</v>
      </c>
      <c r="G3" s="14" t="s">
        <v>32</v>
      </c>
      <c r="H3" s="14" t="s">
        <v>33</v>
      </c>
      <c r="J3" s="16" t="s">
        <v>18</v>
      </c>
      <c r="K3" s="16" t="s">
        <v>24</v>
      </c>
      <c r="L3" s="16" t="s">
        <v>25</v>
      </c>
      <c r="M3" s="16" t="s">
        <v>26</v>
      </c>
      <c r="N3" s="16" t="s">
        <v>27</v>
      </c>
      <c r="O3" s="16" t="s">
        <v>29</v>
      </c>
      <c r="P3" s="16" t="s">
        <v>32</v>
      </c>
      <c r="Q3" s="16" t="s">
        <v>33</v>
      </c>
    </row>
    <row r="4" spans="1:17" x14ac:dyDescent="0.55000000000000004">
      <c r="A4" s="14">
        <v>2007</v>
      </c>
      <c r="B4" s="14">
        <v>5.39</v>
      </c>
      <c r="C4" s="14"/>
      <c r="D4" s="14">
        <v>6.0209999999999999</v>
      </c>
      <c r="E4" s="14">
        <v>1.1559999999999999</v>
      </c>
      <c r="F4" s="14"/>
      <c r="G4" s="14">
        <v>15.522</v>
      </c>
      <c r="H4" s="14">
        <v>6.92</v>
      </c>
      <c r="J4" s="16">
        <f>A4</f>
        <v>2007</v>
      </c>
      <c r="K4" s="60">
        <f>(B4/100)+1</f>
        <v>1.0539000000000001</v>
      </c>
      <c r="L4" s="16"/>
      <c r="M4" s="60">
        <f t="shared" ref="M4:N11" si="0">(D4/100)+1</f>
        <v>1.0602100000000001</v>
      </c>
      <c r="N4" s="60">
        <f t="shared" si="0"/>
        <v>1.01156</v>
      </c>
      <c r="O4" s="16"/>
      <c r="P4" s="60">
        <f t="shared" ref="P4:Q11" si="1">(G4/100)+1</f>
        <v>1.1552199999999999</v>
      </c>
      <c r="Q4" s="60">
        <f t="shared" si="1"/>
        <v>1.0691999999999999</v>
      </c>
    </row>
    <row r="5" spans="1:17" x14ac:dyDescent="0.55000000000000004">
      <c r="A5" s="14">
        <v>2008</v>
      </c>
      <c r="B5" s="14">
        <v>-37.020000000000003</v>
      </c>
      <c r="C5" s="14"/>
      <c r="D5" s="14">
        <v>-41.823999999999998</v>
      </c>
      <c r="E5" s="14">
        <v>-36.07</v>
      </c>
      <c r="F5" s="14"/>
      <c r="G5" s="14">
        <v>-44.100999999999999</v>
      </c>
      <c r="H5" s="14">
        <v>5.05</v>
      </c>
      <c r="J5" s="16">
        <f t="shared" ref="J5:J11" si="2">A5</f>
        <v>2008</v>
      </c>
      <c r="K5" s="60">
        <f t="shared" ref="K5:K11" si="3">(B5/100)+1</f>
        <v>0.62979999999999992</v>
      </c>
      <c r="L5" s="16"/>
      <c r="M5" s="60">
        <f t="shared" si="0"/>
        <v>0.58176000000000005</v>
      </c>
      <c r="N5" s="60">
        <f t="shared" si="0"/>
        <v>0.63929999999999998</v>
      </c>
      <c r="O5" s="16"/>
      <c r="P5" s="60">
        <f t="shared" si="1"/>
        <v>0.55898999999999999</v>
      </c>
      <c r="Q5" s="60">
        <f t="shared" si="1"/>
        <v>1.0505</v>
      </c>
    </row>
    <row r="6" spans="1:17" x14ac:dyDescent="0.55000000000000004">
      <c r="A6" s="14">
        <v>2009</v>
      </c>
      <c r="B6" s="14">
        <v>26.49</v>
      </c>
      <c r="C6" s="14"/>
      <c r="D6" s="14">
        <v>40.218000000000004</v>
      </c>
      <c r="E6" s="14">
        <v>36.118000000000002</v>
      </c>
      <c r="F6" s="14"/>
      <c r="G6" s="14">
        <v>36.726999999999997</v>
      </c>
      <c r="H6" s="14">
        <v>5.93</v>
      </c>
      <c r="J6" s="16">
        <f t="shared" si="2"/>
        <v>2009</v>
      </c>
      <c r="K6" s="60">
        <f t="shared" si="3"/>
        <v>1.2648999999999999</v>
      </c>
      <c r="L6" s="16"/>
      <c r="M6" s="60">
        <f t="shared" si="0"/>
        <v>1.40218</v>
      </c>
      <c r="N6" s="60">
        <f t="shared" si="0"/>
        <v>1.3611800000000001</v>
      </c>
      <c r="O6" s="16"/>
      <c r="P6" s="60">
        <f t="shared" si="1"/>
        <v>1.36727</v>
      </c>
      <c r="Q6" s="60">
        <f t="shared" si="1"/>
        <v>1.0592999999999999</v>
      </c>
    </row>
    <row r="7" spans="1:17" x14ac:dyDescent="0.55000000000000004">
      <c r="A7" s="14">
        <v>2010</v>
      </c>
      <c r="B7" s="14">
        <v>14.91</v>
      </c>
      <c r="C7" s="14"/>
      <c r="D7" s="14">
        <v>25.46</v>
      </c>
      <c r="E7" s="14">
        <v>27.72</v>
      </c>
      <c r="F7" s="14"/>
      <c r="G7" s="14">
        <v>11.12</v>
      </c>
      <c r="H7" s="14">
        <v>6.42</v>
      </c>
      <c r="J7" s="16">
        <f t="shared" si="2"/>
        <v>2010</v>
      </c>
      <c r="K7" s="60">
        <f t="shared" si="3"/>
        <v>1.1491</v>
      </c>
      <c r="L7" s="16"/>
      <c r="M7" s="60">
        <f t="shared" si="0"/>
        <v>1.2545999999999999</v>
      </c>
      <c r="N7" s="60">
        <f t="shared" si="0"/>
        <v>1.2772000000000001</v>
      </c>
      <c r="O7" s="16"/>
      <c r="P7" s="60">
        <f t="shared" si="1"/>
        <v>1.1112</v>
      </c>
      <c r="Q7" s="60">
        <f t="shared" si="1"/>
        <v>1.0642</v>
      </c>
    </row>
    <row r="8" spans="1:17" x14ac:dyDescent="0.55000000000000004">
      <c r="A8" s="14">
        <v>2011</v>
      </c>
      <c r="B8" s="14">
        <v>1.97</v>
      </c>
      <c r="C8" s="14"/>
      <c r="D8" s="14">
        <v>-2.11</v>
      </c>
      <c r="E8" s="15">
        <v>-2.8</v>
      </c>
      <c r="F8" s="14"/>
      <c r="G8" s="14">
        <v>-14.56</v>
      </c>
      <c r="H8" s="14">
        <v>7.56</v>
      </c>
      <c r="J8" s="16">
        <f t="shared" si="2"/>
        <v>2011</v>
      </c>
      <c r="K8" s="60">
        <f t="shared" si="3"/>
        <v>1.0197000000000001</v>
      </c>
      <c r="L8" s="16"/>
      <c r="M8" s="60">
        <f t="shared" si="0"/>
        <v>0.97889999999999999</v>
      </c>
      <c r="N8" s="60">
        <f t="shared" si="0"/>
        <v>0.97199999999999998</v>
      </c>
      <c r="O8" s="16"/>
      <c r="P8" s="60">
        <f t="shared" si="1"/>
        <v>0.85440000000000005</v>
      </c>
      <c r="Q8" s="60">
        <f t="shared" si="1"/>
        <v>1.0756000000000001</v>
      </c>
    </row>
    <row r="9" spans="1:17" x14ac:dyDescent="0.55000000000000004">
      <c r="A9" s="14">
        <v>2012</v>
      </c>
      <c r="B9" s="15">
        <v>15.82</v>
      </c>
      <c r="C9" s="15"/>
      <c r="D9" s="15">
        <v>15.8</v>
      </c>
      <c r="E9" s="15">
        <v>18.04</v>
      </c>
      <c r="F9" s="15"/>
      <c r="G9" s="15">
        <v>18.14</v>
      </c>
      <c r="H9" s="15">
        <v>4.05</v>
      </c>
      <c r="J9" s="16">
        <f t="shared" si="2"/>
        <v>2012</v>
      </c>
      <c r="K9" s="60">
        <f t="shared" si="3"/>
        <v>1.1581999999999999</v>
      </c>
      <c r="L9" s="16"/>
      <c r="M9" s="60">
        <f t="shared" si="0"/>
        <v>1.1579999999999999</v>
      </c>
      <c r="N9" s="60">
        <f t="shared" si="0"/>
        <v>1.1804000000000001</v>
      </c>
      <c r="O9" s="16"/>
      <c r="P9" s="60">
        <f t="shared" si="1"/>
        <v>1.1814</v>
      </c>
      <c r="Q9" s="60">
        <f t="shared" si="1"/>
        <v>1.0405</v>
      </c>
    </row>
    <row r="10" spans="1:17" x14ac:dyDescent="0.55000000000000004">
      <c r="A10" s="14">
        <v>2013</v>
      </c>
      <c r="B10" s="15">
        <v>32.18</v>
      </c>
      <c r="C10" s="15"/>
      <c r="D10" s="15">
        <v>35</v>
      </c>
      <c r="E10" s="15">
        <v>37.619999999999997</v>
      </c>
      <c r="F10" s="15"/>
      <c r="G10" s="15">
        <v>15.04</v>
      </c>
      <c r="H10" s="15">
        <v>-2.2599999999999998</v>
      </c>
      <c r="J10" s="16">
        <f t="shared" ref="J10" si="4">A10</f>
        <v>2013</v>
      </c>
      <c r="K10" s="60">
        <f t="shared" ref="K10" si="5">(B10/100)+1</f>
        <v>1.3218000000000001</v>
      </c>
      <c r="L10" s="16"/>
      <c r="M10" s="60">
        <f t="shared" ref="M10" si="6">(D10/100)+1</f>
        <v>1.35</v>
      </c>
      <c r="N10" s="60">
        <f t="shared" ref="N10" si="7">(E10/100)+1</f>
        <v>1.3761999999999999</v>
      </c>
      <c r="O10" s="16"/>
      <c r="P10" s="60">
        <f t="shared" ref="P10" si="8">(G10/100)+1</f>
        <v>1.1503999999999999</v>
      </c>
      <c r="Q10" s="60">
        <f t="shared" ref="Q10" si="9">(H10/100)+1</f>
        <v>0.97740000000000005</v>
      </c>
    </row>
    <row r="11" spans="1:17" x14ac:dyDescent="0.55000000000000004">
      <c r="A11" s="14">
        <v>2014</v>
      </c>
      <c r="B11" s="15">
        <v>13.51</v>
      </c>
      <c r="C11" s="15"/>
      <c r="D11" s="15">
        <v>13.6</v>
      </c>
      <c r="E11" s="15">
        <v>7.37</v>
      </c>
      <c r="F11" s="15"/>
      <c r="G11" s="15">
        <v>-4.24</v>
      </c>
      <c r="H11" s="15">
        <v>5.76</v>
      </c>
      <c r="J11" s="16">
        <f t="shared" si="2"/>
        <v>2014</v>
      </c>
      <c r="K11" s="60">
        <f t="shared" si="3"/>
        <v>1.1351</v>
      </c>
      <c r="L11" s="16"/>
      <c r="M11" s="60">
        <f t="shared" si="0"/>
        <v>1.1360000000000001</v>
      </c>
      <c r="N11" s="60">
        <f t="shared" si="0"/>
        <v>1.0737000000000001</v>
      </c>
      <c r="O11" s="16"/>
      <c r="P11" s="60">
        <f t="shared" si="1"/>
        <v>0.95760000000000001</v>
      </c>
      <c r="Q11" s="60">
        <f t="shared" si="1"/>
        <v>1.0576000000000001</v>
      </c>
    </row>
    <row r="12" spans="1:17" x14ac:dyDescent="0.55000000000000004">
      <c r="A12" s="14">
        <v>2015</v>
      </c>
      <c r="B12" s="15">
        <v>1.25</v>
      </c>
      <c r="C12" s="15"/>
      <c r="D12" s="15">
        <v>-1.46</v>
      </c>
      <c r="E12" s="15">
        <v>-3.78</v>
      </c>
      <c r="F12" s="15"/>
      <c r="G12" s="15">
        <v>-4.37</v>
      </c>
      <c r="H12" s="15">
        <v>0.3</v>
      </c>
      <c r="J12" s="16">
        <f t="shared" ref="J12" si="10">A12</f>
        <v>2015</v>
      </c>
      <c r="K12" s="60">
        <f t="shared" ref="K12" si="11">(B12/100)+1</f>
        <v>1.0125</v>
      </c>
      <c r="L12" s="16"/>
      <c r="M12" s="60">
        <f t="shared" ref="M12" si="12">(D12/100)+1</f>
        <v>0.98540000000000005</v>
      </c>
      <c r="N12" s="60">
        <f t="shared" ref="N12" si="13">(E12/100)+1</f>
        <v>0.96219999999999994</v>
      </c>
      <c r="O12" s="16"/>
      <c r="P12" s="60">
        <f t="shared" ref="P12" si="14">(G12/100)+1</f>
        <v>0.95630000000000004</v>
      </c>
      <c r="Q12" s="60">
        <f t="shared" ref="Q12" si="15">(H12/100)+1</f>
        <v>1.0029999999999999</v>
      </c>
    </row>
    <row r="13" spans="1:17" x14ac:dyDescent="0.55000000000000004">
      <c r="A13" s="14">
        <v>2016</v>
      </c>
      <c r="B13" s="15">
        <v>11.82</v>
      </c>
      <c r="C13" s="15"/>
      <c r="D13" s="15">
        <v>11.07</v>
      </c>
      <c r="E13" s="15">
        <v>18.170000000000002</v>
      </c>
      <c r="F13" s="15"/>
      <c r="G13" s="15">
        <v>4.6500000000000004</v>
      </c>
      <c r="H13" s="15">
        <v>2.5</v>
      </c>
      <c r="J13" s="16">
        <f t="shared" ref="J13" si="16">A13</f>
        <v>2016</v>
      </c>
      <c r="K13" s="60">
        <f t="shared" ref="K13" si="17">(B13/100)+1</f>
        <v>1.1182000000000001</v>
      </c>
      <c r="L13" s="16"/>
      <c r="M13" s="60">
        <f t="shared" ref="M13" si="18">(D13/100)+1</f>
        <v>1.1107</v>
      </c>
      <c r="N13" s="60">
        <f t="shared" ref="N13" si="19">(E13/100)+1</f>
        <v>1.1817</v>
      </c>
      <c r="O13" s="16"/>
      <c r="P13" s="60">
        <f t="shared" ref="P13" si="20">(G13/100)+1</f>
        <v>1.0465</v>
      </c>
      <c r="Q13" s="60">
        <f t="shared" ref="Q13" si="21">(H13/100)+1</f>
        <v>1.0249999999999999</v>
      </c>
    </row>
    <row r="14" spans="1:17" x14ac:dyDescent="0.55000000000000004">
      <c r="J14" s="61" t="s">
        <v>48</v>
      </c>
      <c r="K14" s="60">
        <f>STDEV(K4:K13)</f>
        <v>0.18832439978812032</v>
      </c>
      <c r="L14" s="60"/>
      <c r="M14" s="60">
        <f>STDEV(M4:M13)</f>
        <v>0.23103900773342342</v>
      </c>
      <c r="N14" s="60">
        <f>STDEV(N4:N13)</f>
        <v>0.22237240452298454</v>
      </c>
      <c r="O14" s="60"/>
      <c r="P14" s="60">
        <f>STDEV(P4:P13)</f>
        <v>0.22033304325749867</v>
      </c>
      <c r="Q14" s="60">
        <f>STDEV(Q4:Q13)</f>
        <v>3.1554927419413369E-2</v>
      </c>
    </row>
    <row r="16" spans="1:17" x14ac:dyDescent="0.55000000000000004">
      <c r="A16" s="18" t="s">
        <v>108</v>
      </c>
      <c r="O16" s="18" t="s">
        <v>122</v>
      </c>
    </row>
    <row r="17" spans="1:24" x14ac:dyDescent="0.55000000000000004">
      <c r="B17" s="4" t="str">
        <f t="shared" ref="B17:H18" si="22">B2</f>
        <v>LC Stocks</v>
      </c>
      <c r="C17" s="4" t="str">
        <f t="shared" si="22"/>
        <v>Ext Mkt</v>
      </c>
      <c r="D17" s="4" t="str">
        <f t="shared" si="22"/>
        <v>Mcap Stk</v>
      </c>
      <c r="E17" s="4" t="str">
        <f t="shared" si="22"/>
        <v>Small Cap</v>
      </c>
      <c r="F17" s="4" t="str">
        <f t="shared" si="22"/>
        <v>Intl Val</v>
      </c>
      <c r="G17" s="4" t="str">
        <f t="shared" si="22"/>
        <v>Tot Int Stk</v>
      </c>
      <c r="H17" s="4" t="str">
        <f t="shared" si="22"/>
        <v>Bonds</v>
      </c>
      <c r="I17" s="5"/>
      <c r="J17" s="5" t="s">
        <v>44</v>
      </c>
      <c r="K17" s="5" t="s">
        <v>41</v>
      </c>
      <c r="L17" s="5" t="s">
        <v>42</v>
      </c>
      <c r="P17" s="4" t="str">
        <f>B17</f>
        <v>LC Stocks</v>
      </c>
      <c r="Q17" s="4" t="str">
        <f t="shared" ref="Q17:V18" si="23">C17</f>
        <v>Ext Mkt</v>
      </c>
      <c r="R17" s="4" t="str">
        <f t="shared" si="23"/>
        <v>Mcap Stk</v>
      </c>
      <c r="S17" s="4" t="str">
        <f t="shared" si="23"/>
        <v>Small Cap</v>
      </c>
      <c r="T17" s="4" t="str">
        <f t="shared" si="23"/>
        <v>Intl Val</v>
      </c>
      <c r="U17" s="4" t="str">
        <f t="shared" si="23"/>
        <v>Tot Int Stk</v>
      </c>
      <c r="V17" s="4" t="str">
        <f t="shared" si="23"/>
        <v>Bonds</v>
      </c>
      <c r="W17" s="5"/>
    </row>
    <row r="18" spans="1:24" x14ac:dyDescent="0.55000000000000004">
      <c r="A18" t="s">
        <v>40</v>
      </c>
      <c r="B18" s="4" t="str">
        <f t="shared" si="22"/>
        <v>VFINX</v>
      </c>
      <c r="C18" s="4" t="str">
        <f t="shared" si="22"/>
        <v>VEXMX</v>
      </c>
      <c r="D18" s="4" t="str">
        <f t="shared" si="22"/>
        <v>VIMSX</v>
      </c>
      <c r="E18" s="4" t="str">
        <f t="shared" si="22"/>
        <v>NAESX</v>
      </c>
      <c r="F18" s="4" t="str">
        <f t="shared" si="22"/>
        <v>VTRIX</v>
      </c>
      <c r="G18" s="4" t="str">
        <f t="shared" si="22"/>
        <v>VGTSX</v>
      </c>
      <c r="H18" s="4" t="str">
        <f t="shared" si="22"/>
        <v>VBMFX</v>
      </c>
      <c r="I18" s="5" t="s">
        <v>38</v>
      </c>
      <c r="J18" s="5" t="s">
        <v>45</v>
      </c>
      <c r="K18" s="5" t="s">
        <v>43</v>
      </c>
      <c r="L18" s="5" t="s">
        <v>43</v>
      </c>
      <c r="O18" t="s">
        <v>40</v>
      </c>
      <c r="P18" s="4" t="str">
        <f>B18</f>
        <v>VFINX</v>
      </c>
      <c r="Q18" s="4" t="str">
        <f t="shared" si="23"/>
        <v>VEXMX</v>
      </c>
      <c r="R18" s="4" t="str">
        <f t="shared" si="23"/>
        <v>VIMSX</v>
      </c>
      <c r="S18" s="4" t="str">
        <f t="shared" si="23"/>
        <v>NAESX</v>
      </c>
      <c r="T18" s="4" t="str">
        <f t="shared" si="23"/>
        <v>VTRIX</v>
      </c>
      <c r="U18" s="4" t="str">
        <f t="shared" si="23"/>
        <v>VGTSX</v>
      </c>
      <c r="V18" s="4" t="str">
        <f t="shared" si="23"/>
        <v>VBMFX</v>
      </c>
      <c r="W18" s="5" t="s">
        <v>38</v>
      </c>
    </row>
    <row r="19" spans="1:24" x14ac:dyDescent="0.55000000000000004">
      <c r="A19" t="s">
        <v>39</v>
      </c>
      <c r="B19" s="27">
        <v>20000</v>
      </c>
      <c r="C19" s="54"/>
      <c r="D19" s="27">
        <v>20000</v>
      </c>
      <c r="E19" s="27">
        <v>10000</v>
      </c>
      <c r="F19" s="54"/>
      <c r="G19" s="27">
        <v>20000</v>
      </c>
      <c r="H19" s="27">
        <v>30000</v>
      </c>
      <c r="I19" s="2">
        <f>SUM(B19:H19)</f>
        <v>100000</v>
      </c>
      <c r="O19" s="19" t="s">
        <v>54</v>
      </c>
      <c r="P19" s="20">
        <f>B19/$I19</f>
        <v>0.2</v>
      </c>
      <c r="Q19" s="20"/>
      <c r="R19" s="21">
        <v>0.2</v>
      </c>
      <c r="S19" s="21">
        <v>0.1</v>
      </c>
      <c r="T19" s="20"/>
      <c r="U19" s="21">
        <v>0.2</v>
      </c>
      <c r="V19" s="20">
        <f>H19/$I19</f>
        <v>0.3</v>
      </c>
      <c r="W19" s="20">
        <f>I19/$I19</f>
        <v>1</v>
      </c>
      <c r="X19" s="22"/>
    </row>
    <row r="20" spans="1:24" x14ac:dyDescent="0.55000000000000004">
      <c r="A20">
        <f t="shared" ref="A20:A27" si="24">A4</f>
        <v>2007</v>
      </c>
      <c r="B20" s="2">
        <f>B$19*(1+(B4/100))</f>
        <v>21078</v>
      </c>
      <c r="C20" s="2"/>
      <c r="D20" s="2">
        <f>D$19*(1+(D4/100))</f>
        <v>21204.2</v>
      </c>
      <c r="E20" s="2">
        <f>E$19*(1+(E4/100))</f>
        <v>10115.6</v>
      </c>
      <c r="F20" s="2"/>
      <c r="G20" s="2">
        <f>G$19*(1+(G4/100))</f>
        <v>23104.399999999998</v>
      </c>
      <c r="H20" s="2">
        <f>H$19*(1+(H4/100))</f>
        <v>32075.999999999996</v>
      </c>
      <c r="I20" s="2">
        <f t="shared" ref="I20:I22" si="25">SUM(B20:H20)</f>
        <v>107578.2</v>
      </c>
      <c r="J20" s="2">
        <f t="shared" ref="J20" si="26">I20-I19</f>
        <v>7578.1999999999971</v>
      </c>
      <c r="K20" s="6">
        <f t="shared" ref="K20" si="27">(J20/I19)</f>
        <v>7.5781999999999974E-2</v>
      </c>
      <c r="L20" s="7">
        <f t="shared" ref="L20" si="28">K20+1</f>
        <v>1.075782</v>
      </c>
      <c r="O20">
        <f t="shared" ref="O20:O25" si="29">A20</f>
        <v>2007</v>
      </c>
      <c r="P20" s="6">
        <f t="shared" ref="P20:P25" si="30">B20/$I20</f>
        <v>0.19593188954639509</v>
      </c>
      <c r="Q20" s="6"/>
      <c r="R20" s="6">
        <f t="shared" ref="R20" si="31">D20/$I20</f>
        <v>0.19710498967262885</v>
      </c>
      <c r="S20" s="6">
        <f t="shared" ref="S20" si="32">E20/$I20</f>
        <v>9.4030203145246904E-2</v>
      </c>
      <c r="T20" s="6"/>
      <c r="U20" s="6">
        <f t="shared" ref="U20:U25" si="33">G20/$I20</f>
        <v>0.21476841962405022</v>
      </c>
      <c r="V20" s="6">
        <f t="shared" ref="V20:V25" si="34">H20/$I20</f>
        <v>0.29816449801167894</v>
      </c>
      <c r="W20" s="20">
        <f>SUM(P20:V20)</f>
        <v>1</v>
      </c>
      <c r="X20" s="22"/>
    </row>
    <row r="21" spans="1:24" x14ac:dyDescent="0.55000000000000004">
      <c r="A21">
        <f t="shared" si="24"/>
        <v>2008</v>
      </c>
      <c r="B21" s="2">
        <f t="shared" ref="B21:B27" si="35">B20*(1+(B5/100))</f>
        <v>13274.924399999998</v>
      </c>
      <c r="C21" s="2"/>
      <c r="D21" s="2">
        <f t="shared" ref="D21:E27" si="36">D20*(1+(D5/100))</f>
        <v>12335.755392000001</v>
      </c>
      <c r="E21" s="2">
        <f t="shared" si="36"/>
        <v>6466.90308</v>
      </c>
      <c r="F21" s="2"/>
      <c r="G21" s="2">
        <f t="shared" ref="G21:H27" si="37">G20*(1+(G5/100))</f>
        <v>12915.128555999998</v>
      </c>
      <c r="H21" s="2">
        <f t="shared" si="37"/>
        <v>33695.837999999996</v>
      </c>
      <c r="I21" s="2">
        <f t="shared" si="25"/>
        <v>78688.549427999998</v>
      </c>
      <c r="J21" s="2">
        <f t="shared" ref="J21:J24" si="38">I21-I20</f>
        <v>-28889.650571999999</v>
      </c>
      <c r="K21" s="6">
        <f t="shared" ref="K21:K22" si="39">(J21/I20)</f>
        <v>-0.26854558425405889</v>
      </c>
      <c r="L21" s="7">
        <f t="shared" ref="L21:L24" si="40">K21+1</f>
        <v>0.73145441574594106</v>
      </c>
      <c r="O21">
        <f t="shared" si="29"/>
        <v>2008</v>
      </c>
      <c r="P21" s="6">
        <f t="shared" si="30"/>
        <v>0.16870211099960039</v>
      </c>
      <c r="Q21" s="6"/>
      <c r="R21" s="6">
        <f t="shared" ref="R21:R25" si="41">D21/$I21</f>
        <v>0.15676684195693827</v>
      </c>
      <c r="S21" s="6">
        <f t="shared" ref="S21:S25" si="42">E21/$I21</f>
        <v>8.2183534033972938E-2</v>
      </c>
      <c r="T21" s="6"/>
      <c r="U21" s="6">
        <f t="shared" si="33"/>
        <v>0.1641297069253683</v>
      </c>
      <c r="V21" s="6">
        <f t="shared" si="34"/>
        <v>0.42821780608412002</v>
      </c>
      <c r="W21" s="20">
        <f t="shared" ref="W21:W25" si="43">SUM(P21:V21)</f>
        <v>1</v>
      </c>
      <c r="X21" s="22"/>
    </row>
    <row r="22" spans="1:24" x14ac:dyDescent="0.55000000000000004">
      <c r="A22">
        <f t="shared" si="24"/>
        <v>2009</v>
      </c>
      <c r="B22" s="2">
        <f t="shared" si="35"/>
        <v>16791.451873559996</v>
      </c>
      <c r="C22" s="2"/>
      <c r="D22" s="2">
        <f t="shared" si="36"/>
        <v>17296.94949555456</v>
      </c>
      <c r="E22" s="2">
        <f t="shared" si="36"/>
        <v>8802.6191344344006</v>
      </c>
      <c r="F22" s="2"/>
      <c r="G22" s="2">
        <f t="shared" si="37"/>
        <v>17658.467820762118</v>
      </c>
      <c r="H22" s="2">
        <f t="shared" si="37"/>
        <v>35694.001193399992</v>
      </c>
      <c r="I22" s="2">
        <f t="shared" si="25"/>
        <v>96243.489517711059</v>
      </c>
      <c r="J22" s="2">
        <f t="shared" si="38"/>
        <v>17554.940089711061</v>
      </c>
      <c r="K22" s="6">
        <f t="shared" si="39"/>
        <v>0.22309395988769404</v>
      </c>
      <c r="L22" s="7">
        <f t="shared" si="40"/>
        <v>1.223093959887694</v>
      </c>
      <c r="O22">
        <f t="shared" si="29"/>
        <v>2009</v>
      </c>
      <c r="P22" s="6">
        <f t="shared" si="30"/>
        <v>0.17446844412753731</v>
      </c>
      <c r="Q22" s="6"/>
      <c r="R22" s="6">
        <f t="shared" si="41"/>
        <v>0.17972072274427991</v>
      </c>
      <c r="S22" s="6">
        <f t="shared" si="42"/>
        <v>9.1461969828250167E-2</v>
      </c>
      <c r="T22" s="6"/>
      <c r="U22" s="6">
        <f t="shared" si="33"/>
        <v>0.18347701137241648</v>
      </c>
      <c r="V22" s="6">
        <f t="shared" si="34"/>
        <v>0.37087185192751621</v>
      </c>
      <c r="W22" s="20">
        <f t="shared" si="43"/>
        <v>1</v>
      </c>
      <c r="X22" s="22"/>
    </row>
    <row r="23" spans="1:24" x14ac:dyDescent="0.55000000000000004">
      <c r="A23">
        <f t="shared" si="24"/>
        <v>2010</v>
      </c>
      <c r="B23" s="2">
        <f t="shared" si="35"/>
        <v>19295.05734790779</v>
      </c>
      <c r="C23" s="2"/>
      <c r="D23" s="2">
        <f t="shared" si="36"/>
        <v>21700.752837122749</v>
      </c>
      <c r="E23" s="2">
        <f t="shared" si="36"/>
        <v>11242.705158499617</v>
      </c>
      <c r="F23" s="2"/>
      <c r="G23" s="2">
        <f t="shared" si="37"/>
        <v>19622.089442430864</v>
      </c>
      <c r="H23" s="2">
        <f t="shared" si="37"/>
        <v>37985.556070016275</v>
      </c>
      <c r="I23" s="2">
        <f t="shared" ref="I23:I24" si="44">SUM(B23:H23)</f>
        <v>109846.16085597729</v>
      </c>
      <c r="J23" s="2">
        <f t="shared" si="38"/>
        <v>13602.671338266227</v>
      </c>
      <c r="K23" s="6">
        <f t="shared" ref="K23:K24" si="45">(J23/I22)</f>
        <v>0.14133601562485967</v>
      </c>
      <c r="L23" s="7">
        <f t="shared" si="40"/>
        <v>1.1413360156248598</v>
      </c>
      <c r="O23">
        <f t="shared" si="29"/>
        <v>2010</v>
      </c>
      <c r="P23" s="6">
        <f t="shared" si="30"/>
        <v>0.17565527277012566</v>
      </c>
      <c r="Q23" s="6"/>
      <c r="R23" s="6">
        <f t="shared" si="41"/>
        <v>0.19755586056007254</v>
      </c>
      <c r="S23" s="6">
        <f t="shared" si="42"/>
        <v>0.10234955023362426</v>
      </c>
      <c r="T23" s="6"/>
      <c r="U23" s="6">
        <f t="shared" si="33"/>
        <v>0.17863245551347029</v>
      </c>
      <c r="V23" s="6">
        <f t="shared" si="34"/>
        <v>0.34580686092270735</v>
      </c>
      <c r="W23" s="20">
        <f t="shared" si="43"/>
        <v>1</v>
      </c>
      <c r="X23" s="22"/>
    </row>
    <row r="24" spans="1:24" x14ac:dyDescent="0.55000000000000004">
      <c r="A24">
        <f t="shared" si="24"/>
        <v>2011</v>
      </c>
      <c r="B24" s="2">
        <f t="shared" si="35"/>
        <v>19675.169977661575</v>
      </c>
      <c r="C24" s="2"/>
      <c r="D24" s="2">
        <f t="shared" si="36"/>
        <v>21242.866952259457</v>
      </c>
      <c r="E24" s="2">
        <f t="shared" si="36"/>
        <v>10927.909414061627</v>
      </c>
      <c r="F24" s="2"/>
      <c r="G24" s="2">
        <f t="shared" si="37"/>
        <v>16765.113219612933</v>
      </c>
      <c r="H24" s="2">
        <f t="shared" si="37"/>
        <v>40857.264108909512</v>
      </c>
      <c r="I24" s="2">
        <f t="shared" si="44"/>
        <v>109468.32367250511</v>
      </c>
      <c r="J24" s="2">
        <f t="shared" si="38"/>
        <v>-377.83718347217655</v>
      </c>
      <c r="K24" s="6">
        <f t="shared" si="45"/>
        <v>-3.4396940277919281E-3</v>
      </c>
      <c r="L24" s="7">
        <f t="shared" si="40"/>
        <v>0.99656030597220813</v>
      </c>
      <c r="O24">
        <f t="shared" si="29"/>
        <v>2011</v>
      </c>
      <c r="P24" s="6">
        <f t="shared" si="30"/>
        <v>0.17973391130500466</v>
      </c>
      <c r="Q24" s="6"/>
      <c r="R24" s="6">
        <f t="shared" si="41"/>
        <v>0.1940549214566531</v>
      </c>
      <c r="S24" s="6">
        <f t="shared" si="42"/>
        <v>9.9827137636221641E-2</v>
      </c>
      <c r="T24" s="7"/>
      <c r="U24" s="6">
        <f t="shared" si="33"/>
        <v>0.15315036037063007</v>
      </c>
      <c r="V24" s="6">
        <f t="shared" si="34"/>
        <v>0.37323366923149048</v>
      </c>
      <c r="W24" s="20">
        <f t="shared" si="43"/>
        <v>0.99999999999999989</v>
      </c>
      <c r="X24" s="22"/>
    </row>
    <row r="25" spans="1:24" x14ac:dyDescent="0.55000000000000004">
      <c r="A25">
        <f t="shared" si="24"/>
        <v>2012</v>
      </c>
      <c r="B25" s="2">
        <f t="shared" si="35"/>
        <v>22787.781868127633</v>
      </c>
      <c r="C25" s="2"/>
      <c r="D25" s="2">
        <f t="shared" si="36"/>
        <v>24599.239930716449</v>
      </c>
      <c r="E25" s="2">
        <f t="shared" si="36"/>
        <v>12899.304272358346</v>
      </c>
      <c r="F25" s="2"/>
      <c r="G25" s="2">
        <f t="shared" si="37"/>
        <v>19806.30475765072</v>
      </c>
      <c r="H25" s="2">
        <f t="shared" si="37"/>
        <v>42511.983305320347</v>
      </c>
      <c r="I25" s="2">
        <f t="shared" ref="I25:I27" si="46">SUM(B25:H25)</f>
        <v>122604.61413417351</v>
      </c>
      <c r="J25" s="2">
        <f t="shared" ref="J25:J27" si="47">I25-I24</f>
        <v>13136.290461668395</v>
      </c>
      <c r="K25" s="6">
        <f t="shared" ref="K25:K27" si="48">(J25/I24)</f>
        <v>0.12000083696328498</v>
      </c>
      <c r="L25" s="7">
        <f t="shared" ref="L25:L27" si="49">K25+1</f>
        <v>1.120000836963285</v>
      </c>
      <c r="O25">
        <f t="shared" si="29"/>
        <v>2012</v>
      </c>
      <c r="P25" s="6">
        <f t="shared" si="30"/>
        <v>0.18586398260011333</v>
      </c>
      <c r="Q25" s="7"/>
      <c r="R25" s="6">
        <f t="shared" si="41"/>
        <v>0.20063877778528008</v>
      </c>
      <c r="S25" s="6">
        <f t="shared" si="42"/>
        <v>0.10521059393606404</v>
      </c>
      <c r="T25" s="7"/>
      <c r="U25" s="6">
        <f t="shared" si="33"/>
        <v>0.16154616119076484</v>
      </c>
      <c r="V25" s="6">
        <f t="shared" si="34"/>
        <v>0.34674048448777761</v>
      </c>
      <c r="W25" s="20">
        <f t="shared" si="43"/>
        <v>0.99999999999999989</v>
      </c>
      <c r="X25" s="22"/>
    </row>
    <row r="26" spans="1:24" x14ac:dyDescent="0.55000000000000004">
      <c r="A26">
        <f t="shared" si="24"/>
        <v>2013</v>
      </c>
      <c r="B26" s="2">
        <f t="shared" si="35"/>
        <v>30120.890073291106</v>
      </c>
      <c r="C26" s="2"/>
      <c r="D26" s="2">
        <f t="shared" si="36"/>
        <v>33208.97390646721</v>
      </c>
      <c r="E26" s="2">
        <f t="shared" si="36"/>
        <v>17752.022539619553</v>
      </c>
      <c r="F26" s="2"/>
      <c r="G26" s="2">
        <f t="shared" si="37"/>
        <v>22785.172993201384</v>
      </c>
      <c r="H26" s="2">
        <f t="shared" si="37"/>
        <v>41551.212482620111</v>
      </c>
      <c r="I26" s="2">
        <f t="shared" si="46"/>
        <v>145418.27199519938</v>
      </c>
      <c r="J26" s="2">
        <f t="shared" si="47"/>
        <v>22813.657861025873</v>
      </c>
      <c r="K26" s="6">
        <f t="shared" si="48"/>
        <v>0.18607503495797909</v>
      </c>
      <c r="L26" s="7">
        <f t="shared" si="49"/>
        <v>1.1860750349579792</v>
      </c>
      <c r="O26">
        <f t="shared" ref="O26:O27" si="50">A26</f>
        <v>2013</v>
      </c>
      <c r="P26" s="6">
        <f t="shared" ref="P26:P27" si="51">B26/$I26</f>
        <v>0.2071327740319007</v>
      </c>
      <c r="Q26" s="7"/>
      <c r="R26" s="6">
        <f t="shared" ref="R26:R27" si="52">D26/$I26</f>
        <v>0.22836864618748545</v>
      </c>
      <c r="S26" s="6">
        <f t="shared" ref="S26:S27" si="53">E26/$I26</f>
        <v>0.12207559817658672</v>
      </c>
      <c r="T26" s="7"/>
      <c r="U26" s="6">
        <f t="shared" ref="U26:U27" si="54">G26/$I26</f>
        <v>0.15668713897214773</v>
      </c>
      <c r="V26" s="6">
        <f t="shared" ref="V26:V27" si="55">H26/$I26</f>
        <v>0.28573584263187929</v>
      </c>
      <c r="W26" s="20">
        <f t="shared" ref="W26:W27" si="56">SUM(P26:V26)</f>
        <v>0.99999999999999978</v>
      </c>
      <c r="X26" s="22"/>
    </row>
    <row r="27" spans="1:24" x14ac:dyDescent="0.55000000000000004">
      <c r="A27">
        <f t="shared" si="24"/>
        <v>2014</v>
      </c>
      <c r="B27" s="2">
        <f t="shared" si="35"/>
        <v>34190.222322192734</v>
      </c>
      <c r="C27" s="2"/>
      <c r="D27" s="2">
        <f t="shared" si="36"/>
        <v>37725.394357746758</v>
      </c>
      <c r="E27" s="2">
        <f t="shared" si="36"/>
        <v>19060.346600789515</v>
      </c>
      <c r="F27" s="2"/>
      <c r="G27" s="2">
        <f t="shared" si="37"/>
        <v>21819.081658289644</v>
      </c>
      <c r="H27" s="2">
        <f t="shared" si="37"/>
        <v>43944.562321619036</v>
      </c>
      <c r="I27" s="2">
        <f t="shared" si="46"/>
        <v>156739.60726063771</v>
      </c>
      <c r="J27" s="2">
        <f t="shared" si="47"/>
        <v>11321.335265438334</v>
      </c>
      <c r="K27" s="6">
        <f t="shared" si="48"/>
        <v>7.7853595081999599E-2</v>
      </c>
      <c r="L27" s="7">
        <f t="shared" si="49"/>
        <v>1.0778535950819996</v>
      </c>
      <c r="O27">
        <f t="shared" si="50"/>
        <v>2014</v>
      </c>
      <c r="P27" s="6">
        <f t="shared" si="51"/>
        <v>0.21813390322803866</v>
      </c>
      <c r="Q27" s="7"/>
      <c r="R27" s="6">
        <f t="shared" si="52"/>
        <v>0.24068833026367292</v>
      </c>
      <c r="S27" s="6">
        <f t="shared" si="53"/>
        <v>0.12160517009012675</v>
      </c>
      <c r="T27" s="7"/>
      <c r="U27" s="6">
        <f t="shared" si="54"/>
        <v>0.1392059227378778</v>
      </c>
      <c r="V27" s="6">
        <f t="shared" si="55"/>
        <v>0.28036667368028367</v>
      </c>
      <c r="W27" s="20">
        <f t="shared" si="56"/>
        <v>0.99999999999999978</v>
      </c>
      <c r="X27" s="22"/>
    </row>
    <row r="28" spans="1:24" x14ac:dyDescent="0.55000000000000004">
      <c r="A28">
        <f t="shared" ref="A28:A29" si="57">A12</f>
        <v>2015</v>
      </c>
      <c r="B28" s="2">
        <f t="shared" ref="B28:B29" si="58">B27*(1+(B12/100))</f>
        <v>34617.600101220145</v>
      </c>
      <c r="C28" s="2"/>
      <c r="D28" s="2">
        <f t="shared" ref="D28:E28" si="59">D27*(1+(D12/100))</f>
        <v>37174.603600123657</v>
      </c>
      <c r="E28" s="2">
        <f t="shared" si="59"/>
        <v>18339.865499279669</v>
      </c>
      <c r="F28" s="2"/>
      <c r="G28" s="2">
        <f t="shared" ref="G28:H28" si="60">G27*(1+(G12/100))</f>
        <v>20865.587789822388</v>
      </c>
      <c r="H28" s="2">
        <f t="shared" si="60"/>
        <v>44076.396008583892</v>
      </c>
      <c r="I28" s="2">
        <f t="shared" ref="I28:I29" si="61">SUM(B28:H28)</f>
        <v>155074.05299902975</v>
      </c>
      <c r="J28" s="2">
        <f t="shared" ref="J28:J29" si="62">I28-I27</f>
        <v>-1665.554261607962</v>
      </c>
      <c r="K28" s="6">
        <f t="shared" ref="K28:K29" si="63">(J28/I27)</f>
        <v>-1.0626250063510497E-2</v>
      </c>
      <c r="L28" s="7">
        <f t="shared" ref="L28:L29" si="64">K28+1</f>
        <v>0.98937374993648952</v>
      </c>
      <c r="O28">
        <f t="shared" ref="O28:O29" si="65">A28</f>
        <v>2015</v>
      </c>
      <c r="P28" s="6">
        <f t="shared" ref="P28:P29" si="66">B28/$I28</f>
        <v>0.22323270354865063</v>
      </c>
      <c r="Q28" s="7"/>
      <c r="R28" s="6">
        <f t="shared" ref="R28:R29" si="67">D28/$I28</f>
        <v>0.23972162254865581</v>
      </c>
      <c r="S28" s="6">
        <f t="shared" ref="S28:S29" si="68">E28/$I28</f>
        <v>0.11826521035981703</v>
      </c>
      <c r="T28" s="7"/>
      <c r="U28" s="6">
        <f t="shared" ref="U28:U29" si="69">G28/$I28</f>
        <v>0.13455241148532396</v>
      </c>
      <c r="V28" s="6">
        <f t="shared" ref="V28:V29" si="70">H28/$I28</f>
        <v>0.28422805205755253</v>
      </c>
      <c r="W28" s="20">
        <f t="shared" ref="W28:W29" si="71">SUM(P28:V28)</f>
        <v>1</v>
      </c>
      <c r="X28" s="22"/>
    </row>
    <row r="29" spans="1:24" x14ac:dyDescent="0.55000000000000004">
      <c r="A29">
        <f t="shared" si="57"/>
        <v>2016</v>
      </c>
      <c r="B29" s="2">
        <f t="shared" si="58"/>
        <v>38709.400433184368</v>
      </c>
      <c r="C29" s="2"/>
      <c r="D29" s="2">
        <f t="shared" ref="D29:E29" si="72">D28*(1+(D13/100))</f>
        <v>41289.83221865735</v>
      </c>
      <c r="E29" s="2">
        <f t="shared" si="72"/>
        <v>21672.219060498785</v>
      </c>
      <c r="F29" s="2"/>
      <c r="G29" s="2">
        <f t="shared" ref="G29:H29" si="73">G28*(1+(G13/100))</f>
        <v>21835.83762204913</v>
      </c>
      <c r="H29" s="2">
        <f t="shared" si="73"/>
        <v>45178.305908798488</v>
      </c>
      <c r="I29" s="2">
        <f t="shared" si="61"/>
        <v>168685.59524318812</v>
      </c>
      <c r="J29" s="2">
        <f t="shared" si="62"/>
        <v>13611.542244158365</v>
      </c>
      <c r="K29" s="6">
        <f t="shared" si="63"/>
        <v>8.7774466333471843E-2</v>
      </c>
      <c r="L29" s="7">
        <f t="shared" si="64"/>
        <v>1.0877744663334719</v>
      </c>
      <c r="O29">
        <f t="shared" si="65"/>
        <v>2016</v>
      </c>
      <c r="P29" s="6">
        <f t="shared" si="66"/>
        <v>0.22947662115059902</v>
      </c>
      <c r="Q29" s="7"/>
      <c r="R29" s="6">
        <f t="shared" si="67"/>
        <v>0.24477390709699454</v>
      </c>
      <c r="S29" s="6">
        <f t="shared" si="68"/>
        <v>0.12847699905409649</v>
      </c>
      <c r="T29" s="7"/>
      <c r="U29" s="6">
        <f t="shared" si="69"/>
        <v>0.12944696072340478</v>
      </c>
      <c r="V29" s="6">
        <f t="shared" si="70"/>
        <v>0.26782551197490517</v>
      </c>
      <c r="W29" s="20">
        <f t="shared" si="71"/>
        <v>1</v>
      </c>
      <c r="X29" s="22"/>
    </row>
    <row r="30" spans="1:24" x14ac:dyDescent="0.55000000000000004">
      <c r="A30" s="9" t="s">
        <v>46</v>
      </c>
      <c r="B30" s="10">
        <f>B29</f>
        <v>38709.400433184368</v>
      </c>
      <c r="C30" s="10"/>
      <c r="D30" s="10">
        <f>D29</f>
        <v>41289.83221865735</v>
      </c>
      <c r="E30" s="10">
        <f>E29</f>
        <v>21672.219060498785</v>
      </c>
      <c r="F30" s="10"/>
      <c r="G30" s="10">
        <f>G29</f>
        <v>21835.83762204913</v>
      </c>
      <c r="H30" s="10">
        <f>H29</f>
        <v>45178.305908798488</v>
      </c>
      <c r="I30" s="49">
        <f>SUM(B30:H30)</f>
        <v>168685.59524318812</v>
      </c>
      <c r="J30" s="10"/>
      <c r="K30" s="10"/>
      <c r="S30" s="7"/>
    </row>
    <row r="31" spans="1:24" x14ac:dyDescent="0.55000000000000004">
      <c r="A31" s="11" t="s">
        <v>47</v>
      </c>
      <c r="I31" s="48">
        <f>(I30-I19)/I19</f>
        <v>0.68685595243188113</v>
      </c>
      <c r="K31" s="6"/>
    </row>
    <row r="32" spans="1:24" x14ac:dyDescent="0.55000000000000004">
      <c r="A32" s="1" t="s">
        <v>48</v>
      </c>
      <c r="I32" s="25">
        <f>STDEV(L20:L29)</f>
        <v>0.13780760891125177</v>
      </c>
    </row>
    <row r="33" spans="1:9" x14ac:dyDescent="0.55000000000000004">
      <c r="A33" s="1" t="s">
        <v>49</v>
      </c>
      <c r="I33" s="13">
        <f>((1+I31)^(1/I38))-1</f>
        <v>5.3677726794271852E-2</v>
      </c>
    </row>
    <row r="34" spans="1:9" x14ac:dyDescent="0.55000000000000004">
      <c r="A34" s="1" t="s">
        <v>50</v>
      </c>
      <c r="I34" s="27">
        <f>J21</f>
        <v>-28889.650571999999</v>
      </c>
    </row>
    <row r="35" spans="1:9" x14ac:dyDescent="0.55000000000000004">
      <c r="A35" s="1" t="s">
        <v>51</v>
      </c>
      <c r="I35" s="28">
        <f>K21</f>
        <v>-0.26854558425405889</v>
      </c>
    </row>
    <row r="36" spans="1:9" x14ac:dyDescent="0.55000000000000004">
      <c r="A36" s="3" t="s">
        <v>52</v>
      </c>
      <c r="I36" s="29">
        <f>I30-I29</f>
        <v>0</v>
      </c>
    </row>
    <row r="37" spans="1:9" x14ac:dyDescent="0.55000000000000004">
      <c r="A37" s="3" t="s">
        <v>147</v>
      </c>
      <c r="I37" s="29">
        <f>((SUM(J20:J29))-(I30-I19))</f>
        <v>0</v>
      </c>
    </row>
    <row r="38" spans="1:9" x14ac:dyDescent="0.55000000000000004">
      <c r="A38" s="3" t="s">
        <v>154</v>
      </c>
      <c r="I38" s="3">
        <f>COUNTA(I20:I29)</f>
        <v>10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8"/>
  <sheetViews>
    <sheetView topLeftCell="A7" zoomScaleNormal="100" workbookViewId="0">
      <selection activeCell="I33" sqref="I33"/>
    </sheetView>
  </sheetViews>
  <sheetFormatPr defaultColWidth="8.83984375" defaultRowHeight="14.4" x14ac:dyDescent="0.55000000000000004"/>
  <cols>
    <col min="1" max="1" width="25.41796875" customWidth="1"/>
    <col min="9" max="9" width="10.68359375" customWidth="1"/>
    <col min="10" max="10" width="10" bestFit="1" customWidth="1"/>
    <col min="36" max="37" width="10.83984375" bestFit="1" customWidth="1"/>
    <col min="40" max="40" width="10.83984375" bestFit="1" customWidth="1"/>
    <col min="42" max="42" width="10.83984375" bestFit="1" customWidth="1"/>
    <col min="43" max="43" width="11.41796875" customWidth="1"/>
  </cols>
  <sheetData>
    <row r="1" spans="1:35" x14ac:dyDescent="0.55000000000000004">
      <c r="A1" s="18" t="s">
        <v>19</v>
      </c>
    </row>
    <row r="2" spans="1:35" x14ac:dyDescent="0.55000000000000004">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35" x14ac:dyDescent="0.55000000000000004">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35" x14ac:dyDescent="0.55000000000000004">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35" x14ac:dyDescent="0.55000000000000004">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35" x14ac:dyDescent="0.55000000000000004">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35" x14ac:dyDescent="0.55000000000000004">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35" x14ac:dyDescent="0.55000000000000004">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35" x14ac:dyDescent="0.55000000000000004">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35" x14ac:dyDescent="0.55000000000000004">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35" x14ac:dyDescent="0.55000000000000004">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35" x14ac:dyDescent="0.55000000000000004">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35" x14ac:dyDescent="0.55000000000000004">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35" x14ac:dyDescent="0.55000000000000004">
      <c r="A14" s="1"/>
    </row>
    <row r="15" spans="1:35" x14ac:dyDescent="0.55000000000000004">
      <c r="A15" s="1"/>
    </row>
    <row r="16" spans="1:35" x14ac:dyDescent="0.55000000000000004">
      <c r="A16" s="18" t="s">
        <v>113</v>
      </c>
      <c r="O16" s="18" t="s">
        <v>119</v>
      </c>
      <c r="Y16" s="18" t="s">
        <v>120</v>
      </c>
      <c r="AI16" s="18" t="s">
        <v>121</v>
      </c>
    </row>
    <row r="17" spans="1:44" x14ac:dyDescent="0.55000000000000004">
      <c r="B17" s="4" t="str">
        <f t="shared" ref="B17:H18" si="0">B2</f>
        <v>LC Stocks</v>
      </c>
      <c r="C17" s="4" t="str">
        <f t="shared" si="0"/>
        <v>Ext Mkt</v>
      </c>
      <c r="D17" s="4" t="str">
        <f t="shared" si="0"/>
        <v>Mcap Stk</v>
      </c>
      <c r="E17" s="4" t="str">
        <f t="shared" si="0"/>
        <v>Small Cap</v>
      </c>
      <c r="F17" s="4" t="str">
        <f t="shared" si="0"/>
        <v>Intl Val</v>
      </c>
      <c r="G17" s="4" t="str">
        <f t="shared" si="0"/>
        <v>Tot Int Stk</v>
      </c>
      <c r="H17" s="4" t="str">
        <f t="shared" si="0"/>
        <v>Bonds</v>
      </c>
      <c r="I17" s="5"/>
      <c r="J17" s="5" t="s">
        <v>44</v>
      </c>
      <c r="K17" s="5" t="s">
        <v>41</v>
      </c>
      <c r="L17" s="5" t="s">
        <v>42</v>
      </c>
      <c r="P17" s="4" t="str">
        <f>B17</f>
        <v>LC Stocks</v>
      </c>
      <c r="Q17" s="4" t="str">
        <f t="shared" ref="Q17:V18" si="1">C17</f>
        <v>Ext Mkt</v>
      </c>
      <c r="R17" s="4" t="str">
        <f t="shared" si="1"/>
        <v>Mcap Stk</v>
      </c>
      <c r="S17" s="4" t="str">
        <f t="shared" si="1"/>
        <v>Small Cap</v>
      </c>
      <c r="T17" s="4" t="str">
        <f t="shared" si="1"/>
        <v>Intl Val</v>
      </c>
      <c r="U17" s="4" t="str">
        <f t="shared" si="1"/>
        <v>Tot Int Stk</v>
      </c>
      <c r="V17" s="4" t="str">
        <f t="shared" si="1"/>
        <v>Bonds</v>
      </c>
      <c r="W17" s="5"/>
      <c r="Z17" s="4" t="str">
        <f>P17</f>
        <v>LC Stocks</v>
      </c>
      <c r="AA17" s="4" t="str">
        <f t="shared" ref="AA17:AG19" si="2">Q17</f>
        <v>Ext Mkt</v>
      </c>
      <c r="AB17" s="4" t="str">
        <f t="shared" si="2"/>
        <v>Mcap Stk</v>
      </c>
      <c r="AC17" s="4" t="str">
        <f t="shared" si="2"/>
        <v>Small Cap</v>
      </c>
      <c r="AD17" s="4" t="str">
        <f t="shared" si="2"/>
        <v>Intl Val</v>
      </c>
      <c r="AE17" s="4" t="str">
        <f t="shared" si="2"/>
        <v>Tot Int Stk</v>
      </c>
      <c r="AF17" s="4" t="str">
        <f t="shared" si="2"/>
        <v>Bonds</v>
      </c>
      <c r="AG17" s="5"/>
      <c r="AJ17" s="4" t="str">
        <f>Z17</f>
        <v>LC Stocks</v>
      </c>
      <c r="AK17" s="4" t="str">
        <f t="shared" ref="AK17:AQ19" si="3">AA17</f>
        <v>Ext Mkt</v>
      </c>
      <c r="AL17" s="4" t="str">
        <f t="shared" si="3"/>
        <v>Mcap Stk</v>
      </c>
      <c r="AM17" s="4" t="str">
        <f t="shared" si="3"/>
        <v>Small Cap</v>
      </c>
      <c r="AN17" s="4" t="str">
        <f t="shared" si="3"/>
        <v>Intl Val</v>
      </c>
      <c r="AO17" s="4" t="str">
        <f t="shared" si="3"/>
        <v>Tot Int Stk</v>
      </c>
      <c r="AP17" s="4" t="str">
        <f t="shared" si="3"/>
        <v>Bonds</v>
      </c>
      <c r="AQ17" s="4"/>
      <c r="AR17" t="s">
        <v>56</v>
      </c>
    </row>
    <row r="18" spans="1:44" x14ac:dyDescent="0.55000000000000004">
      <c r="A18" t="s">
        <v>40</v>
      </c>
      <c r="B18" s="4" t="str">
        <f t="shared" si="0"/>
        <v>VFINX</v>
      </c>
      <c r="C18" s="4" t="str">
        <f t="shared" si="0"/>
        <v>VEXMX</v>
      </c>
      <c r="D18" s="4" t="str">
        <f t="shared" si="0"/>
        <v>VIMSX</v>
      </c>
      <c r="E18" s="4" t="str">
        <f t="shared" si="0"/>
        <v>NAESX</v>
      </c>
      <c r="F18" s="4" t="str">
        <f t="shared" si="0"/>
        <v>VTRIX</v>
      </c>
      <c r="G18" s="4" t="str">
        <f t="shared" si="0"/>
        <v>VGTSX</v>
      </c>
      <c r="H18" s="4" t="str">
        <f t="shared" si="0"/>
        <v>VBMFX</v>
      </c>
      <c r="I18" s="5" t="s">
        <v>38</v>
      </c>
      <c r="J18" s="5" t="s">
        <v>45</v>
      </c>
      <c r="K18" s="5" t="s">
        <v>43</v>
      </c>
      <c r="L18" s="5" t="s">
        <v>43</v>
      </c>
      <c r="O18" t="s">
        <v>40</v>
      </c>
      <c r="P18" s="4" t="str">
        <f>B18</f>
        <v>VFINX</v>
      </c>
      <c r="Q18" s="4" t="str">
        <f t="shared" si="1"/>
        <v>VEXMX</v>
      </c>
      <c r="R18" s="4" t="str">
        <f t="shared" si="1"/>
        <v>VIMSX</v>
      </c>
      <c r="S18" s="4" t="str">
        <f t="shared" si="1"/>
        <v>NAESX</v>
      </c>
      <c r="T18" s="4" t="str">
        <f t="shared" si="1"/>
        <v>VTRIX</v>
      </c>
      <c r="U18" s="4" t="str">
        <f t="shared" si="1"/>
        <v>VGTSX</v>
      </c>
      <c r="V18" s="4" t="str">
        <f t="shared" si="1"/>
        <v>VBMFX</v>
      </c>
      <c r="W18" s="5" t="s">
        <v>38</v>
      </c>
      <c r="Y18" t="str">
        <f>O18</f>
        <v>Fund</v>
      </c>
      <c r="Z18" s="4" t="str">
        <f>P18</f>
        <v>VFINX</v>
      </c>
      <c r="AA18" s="4" t="str">
        <f t="shared" si="2"/>
        <v>VEXMX</v>
      </c>
      <c r="AB18" s="4" t="str">
        <f t="shared" si="2"/>
        <v>VIMSX</v>
      </c>
      <c r="AC18" s="4" t="str">
        <f t="shared" si="2"/>
        <v>NAESX</v>
      </c>
      <c r="AD18" s="4" t="str">
        <f t="shared" si="2"/>
        <v>VTRIX</v>
      </c>
      <c r="AE18" s="4" t="str">
        <f t="shared" si="2"/>
        <v>VGTSX</v>
      </c>
      <c r="AF18" s="4" t="str">
        <f t="shared" si="2"/>
        <v>VBMFX</v>
      </c>
      <c r="AG18" s="4" t="str">
        <f t="shared" si="2"/>
        <v>Total</v>
      </c>
      <c r="AI18" t="s">
        <v>40</v>
      </c>
      <c r="AJ18" s="4" t="str">
        <f>Z18</f>
        <v>VFINX</v>
      </c>
      <c r="AK18" s="4" t="str">
        <f t="shared" si="3"/>
        <v>VEXMX</v>
      </c>
      <c r="AL18" s="4" t="str">
        <f t="shared" si="3"/>
        <v>VIMSX</v>
      </c>
      <c r="AM18" s="4" t="str">
        <f t="shared" si="3"/>
        <v>NAESX</v>
      </c>
      <c r="AN18" s="4" t="str">
        <f t="shared" si="3"/>
        <v>VTRIX</v>
      </c>
      <c r="AO18" s="4" t="str">
        <f t="shared" si="3"/>
        <v>VGTSX</v>
      </c>
      <c r="AP18" s="4" t="str">
        <f t="shared" si="3"/>
        <v>VBMFX</v>
      </c>
      <c r="AQ18" s="4" t="str">
        <f t="shared" si="3"/>
        <v>Total</v>
      </c>
      <c r="AR18" t="s">
        <v>55</v>
      </c>
    </row>
    <row r="19" spans="1:44" x14ac:dyDescent="0.55000000000000004">
      <c r="A19" t="s">
        <v>39</v>
      </c>
      <c r="B19" s="2">
        <f>'Non-Rebalanced Strategy'!B19</f>
        <v>20000</v>
      </c>
      <c r="C19" s="2"/>
      <c r="D19" s="2">
        <f>'Non-Rebalanced Strategy'!D19</f>
        <v>20000</v>
      </c>
      <c r="E19" s="2">
        <f>'Non-Rebalanced Strategy'!E19</f>
        <v>10000</v>
      </c>
      <c r="F19" s="2"/>
      <c r="G19" s="2">
        <f>'Non-Rebalanced Strategy'!G19</f>
        <v>20000</v>
      </c>
      <c r="H19" s="2">
        <f>'Non-Rebalanced Strategy'!H19</f>
        <v>30000</v>
      </c>
      <c r="I19" s="2">
        <f>SUM(B19:H19)</f>
        <v>100000</v>
      </c>
      <c r="O19" s="19" t="s">
        <v>54</v>
      </c>
      <c r="P19" s="20">
        <f>B19/$I19</f>
        <v>0.2</v>
      </c>
      <c r="Q19" s="20"/>
      <c r="R19" s="53">
        <f>'Non-Rebalanced Strategy'!R19</f>
        <v>0.2</v>
      </c>
      <c r="S19" s="53">
        <f>'Non-Rebalanced Strategy'!S19</f>
        <v>0.1</v>
      </c>
      <c r="T19" s="20"/>
      <c r="U19" s="53">
        <f>'Non-Rebalanced Strategy'!U19</f>
        <v>0.2</v>
      </c>
      <c r="V19" s="20">
        <f>H19/$I19</f>
        <v>0.3</v>
      </c>
      <c r="W19" s="20">
        <f>I19/$I19</f>
        <v>1</v>
      </c>
      <c r="Y19" s="19" t="str">
        <f>O19</f>
        <v>Target Allocation</v>
      </c>
      <c r="Z19" s="22">
        <f>P19</f>
        <v>0.2</v>
      </c>
      <c r="AA19" s="22">
        <f t="shared" si="2"/>
        <v>0</v>
      </c>
      <c r="AB19" s="23">
        <f t="shared" si="2"/>
        <v>0.2</v>
      </c>
      <c r="AC19" s="23">
        <f t="shared" si="2"/>
        <v>0.1</v>
      </c>
      <c r="AD19" s="22">
        <f t="shared" si="2"/>
        <v>0</v>
      </c>
      <c r="AE19" s="23">
        <f t="shared" si="2"/>
        <v>0.2</v>
      </c>
      <c r="AF19" s="22">
        <f t="shared" si="2"/>
        <v>0.3</v>
      </c>
      <c r="AG19" s="22">
        <f t="shared" si="2"/>
        <v>1</v>
      </c>
      <c r="AI19" s="19" t="str">
        <f>Y19</f>
        <v>Target Allocation</v>
      </c>
      <c r="AJ19" s="22">
        <f>Z19</f>
        <v>0.2</v>
      </c>
      <c r="AK19" s="22"/>
      <c r="AL19" s="23">
        <f t="shared" si="3"/>
        <v>0.2</v>
      </c>
      <c r="AM19" s="23">
        <f t="shared" si="3"/>
        <v>0.1</v>
      </c>
      <c r="AN19" s="22"/>
      <c r="AO19" s="23">
        <f t="shared" si="3"/>
        <v>0.2</v>
      </c>
      <c r="AP19" s="22">
        <f t="shared" si="3"/>
        <v>0.3</v>
      </c>
      <c r="AQ19" s="22">
        <f t="shared" si="3"/>
        <v>1</v>
      </c>
      <c r="AR19" s="2"/>
    </row>
    <row r="20" spans="1:44" x14ac:dyDescent="0.55000000000000004">
      <c r="A20">
        <f t="shared" ref="A20:A27" si="4">A4</f>
        <v>2007</v>
      </c>
      <c r="B20" s="2">
        <f>B$19*(1+(B4/100))</f>
        <v>21078</v>
      </c>
      <c r="C20" s="2"/>
      <c r="D20" s="2">
        <f>D$19*(1+(D4/100))</f>
        <v>21204.2</v>
      </c>
      <c r="E20" s="2">
        <f>E$19*(1+(E4/100))</f>
        <v>10115.6</v>
      </c>
      <c r="F20" s="2"/>
      <c r="G20" s="2">
        <f>G$19*(1+(G4/100))</f>
        <v>23104.399999999998</v>
      </c>
      <c r="H20" s="2">
        <f>H$19*(1+(H4/100))</f>
        <v>32075.999999999996</v>
      </c>
      <c r="I20" s="2">
        <f t="shared" ref="I20:I22" si="5">SUM(B20:H20)</f>
        <v>107578.2</v>
      </c>
      <c r="J20" s="2">
        <f t="shared" ref="J20" si="6">I20-I19</f>
        <v>7578.1999999999971</v>
      </c>
      <c r="K20" s="6">
        <f t="shared" ref="K20" si="7">(J20/I19)</f>
        <v>7.5781999999999974E-2</v>
      </c>
      <c r="L20" s="7">
        <f t="shared" ref="L20" si="8">K20+1</f>
        <v>1.075782</v>
      </c>
      <c r="O20">
        <f t="shared" ref="O20:O24" si="9">A20</f>
        <v>2007</v>
      </c>
      <c r="P20" s="6">
        <f t="shared" ref="P20:U24" si="10">B20/$I20</f>
        <v>0.19593188954639509</v>
      </c>
      <c r="Q20" s="6"/>
      <c r="R20" s="6">
        <f t="shared" ref="R20:S24" si="11">D20/$I20</f>
        <v>0.19710498967262885</v>
      </c>
      <c r="S20" s="6">
        <f t="shared" si="11"/>
        <v>9.4030203145246904E-2</v>
      </c>
      <c r="T20" s="6"/>
      <c r="U20" s="6">
        <f t="shared" si="10"/>
        <v>0.21476841962405022</v>
      </c>
      <c r="V20" s="6">
        <f t="shared" ref="V20:V24" si="12">H20/$I20</f>
        <v>0.29816449801167894</v>
      </c>
      <c r="W20" s="20">
        <f>SUM(P20:V20)</f>
        <v>1</v>
      </c>
      <c r="Y20">
        <f t="shared" ref="Y20:Y24" si="13">O20</f>
        <v>2007</v>
      </c>
      <c r="Z20" s="1" t="b">
        <f t="shared" ref="Z20:Z24" si="14">AND((B20/$I20)&gt;0.15,(B20/$I20)&lt;0.25)</f>
        <v>1</v>
      </c>
      <c r="AB20" s="1" t="b">
        <f t="shared" ref="AB20:AB24" si="15">AND((D20/$I20)&gt;0.15,(D20/$I20)&lt;0.25)</f>
        <v>1</v>
      </c>
      <c r="AC20" s="1" t="b">
        <f t="shared" ref="AC20:AC24" si="16">AND((E20/$I20)&gt;0.05,(E20/$I20)&lt;0.15)</f>
        <v>1</v>
      </c>
      <c r="AE20" s="1" t="b">
        <f t="shared" ref="AE20:AE24" si="17">AND((G20/$I20)&gt;0.15,(G20/$I20)&lt;0.25)</f>
        <v>1</v>
      </c>
      <c r="AF20" s="1" t="b">
        <f t="shared" ref="AF20:AF26" si="18">AND((H20/$I20)&gt;0.25,(H20/$I20)&lt;0.35)</f>
        <v>1</v>
      </c>
      <c r="AG20" s="1" t="b">
        <f t="shared" ref="AG20:AG24" si="19">AND((I20/$I20)&gt;0.999,(I20/$I20)&lt;1.01)</f>
        <v>1</v>
      </c>
      <c r="AI20">
        <f t="shared" ref="AI20:AI24" si="20">A20</f>
        <v>2007</v>
      </c>
      <c r="AJ20" s="2">
        <f t="shared" ref="AJ20" si="21">B20</f>
        <v>21078</v>
      </c>
      <c r="AK20" s="2"/>
      <c r="AL20" s="2">
        <f t="shared" ref="AL20" si="22">D20</f>
        <v>21204.2</v>
      </c>
      <c r="AM20" s="2">
        <f t="shared" ref="AM20" si="23">E20</f>
        <v>10115.6</v>
      </c>
      <c r="AN20" s="2"/>
      <c r="AO20" s="2">
        <f t="shared" ref="AO20" si="24">G20</f>
        <v>23104.399999999998</v>
      </c>
      <c r="AP20" s="2">
        <f t="shared" ref="AP20" si="25">H20</f>
        <v>32075.999999999996</v>
      </c>
      <c r="AQ20" s="2">
        <f t="shared" ref="AQ20:AQ24" si="26">I20</f>
        <v>107578.2</v>
      </c>
      <c r="AR20" s="2">
        <f t="shared" ref="AR20:AR24" si="27">(SUM(AJ20:AP20))-AQ20</f>
        <v>0</v>
      </c>
    </row>
    <row r="21" spans="1:44" x14ac:dyDescent="0.55000000000000004">
      <c r="A21">
        <f t="shared" si="4"/>
        <v>2008</v>
      </c>
      <c r="B21" s="2">
        <f t="shared" ref="B21:B27" si="28">AJ20*(1+(B5/100))</f>
        <v>13274.924399999998</v>
      </c>
      <c r="C21" s="2"/>
      <c r="D21" s="2">
        <f t="shared" ref="D21:E27" si="29">AL20*(1+(D5/100))</f>
        <v>12335.755392000001</v>
      </c>
      <c r="E21" s="2">
        <f t="shared" si="29"/>
        <v>6466.90308</v>
      </c>
      <c r="F21" s="2"/>
      <c r="G21" s="2">
        <f t="shared" ref="G21:H27" si="30">AO20*(1+(G5/100))</f>
        <v>12915.128555999998</v>
      </c>
      <c r="H21" s="2">
        <f t="shared" si="30"/>
        <v>33695.837999999996</v>
      </c>
      <c r="I21" s="2">
        <f t="shared" si="5"/>
        <v>78688.549427999998</v>
      </c>
      <c r="J21" s="2">
        <f t="shared" ref="J21:J24" si="31">I21-I20</f>
        <v>-28889.650571999999</v>
      </c>
      <c r="K21" s="6">
        <f t="shared" ref="K21:K24" si="32">(J21/I20)</f>
        <v>-0.26854558425405889</v>
      </c>
      <c r="L21" s="7">
        <f t="shared" ref="L21:L24" si="33">K21+1</f>
        <v>0.73145441574594106</v>
      </c>
      <c r="O21">
        <f t="shared" si="9"/>
        <v>2008</v>
      </c>
      <c r="P21" s="6">
        <f t="shared" si="10"/>
        <v>0.16870211099960039</v>
      </c>
      <c r="Q21" s="6"/>
      <c r="R21" s="6">
        <f t="shared" si="11"/>
        <v>0.15676684195693827</v>
      </c>
      <c r="S21" s="6">
        <f t="shared" si="11"/>
        <v>8.2183534033972938E-2</v>
      </c>
      <c r="T21" s="6"/>
      <c r="U21" s="6">
        <f t="shared" si="10"/>
        <v>0.1641297069253683</v>
      </c>
      <c r="V21" s="6">
        <f t="shared" si="12"/>
        <v>0.42821780608412002</v>
      </c>
      <c r="W21" s="20">
        <f t="shared" ref="W21:W24" si="34">SUM(P21:V21)</f>
        <v>1</v>
      </c>
      <c r="Y21">
        <f t="shared" si="13"/>
        <v>2008</v>
      </c>
      <c r="Z21" s="1" t="b">
        <f t="shared" si="14"/>
        <v>1</v>
      </c>
      <c r="AB21" s="1" t="b">
        <f t="shared" si="15"/>
        <v>1</v>
      </c>
      <c r="AC21" s="1" t="b">
        <f t="shared" si="16"/>
        <v>1</v>
      </c>
      <c r="AE21" s="1" t="b">
        <f t="shared" si="17"/>
        <v>1</v>
      </c>
      <c r="AF21" s="1" t="b">
        <f t="shared" si="18"/>
        <v>0</v>
      </c>
      <c r="AG21" s="1" t="b">
        <f t="shared" si="19"/>
        <v>1</v>
      </c>
      <c r="AI21">
        <f t="shared" si="20"/>
        <v>2008</v>
      </c>
      <c r="AJ21" s="24">
        <f>AJ$19*$AQ21</f>
        <v>15737.709885600001</v>
      </c>
      <c r="AK21" s="2"/>
      <c r="AL21" s="24">
        <f>AL$19*$AQ21</f>
        <v>15737.709885600001</v>
      </c>
      <c r="AM21" s="24">
        <f>AM$19*$AQ21</f>
        <v>7868.8549428000006</v>
      </c>
      <c r="AN21" s="2"/>
      <c r="AO21" s="24">
        <f>AO$19*$AQ21</f>
        <v>15737.709885600001</v>
      </c>
      <c r="AP21" s="24">
        <f>AP$19*$AQ21</f>
        <v>23606.564828399998</v>
      </c>
      <c r="AQ21" s="2">
        <f t="shared" si="26"/>
        <v>78688.549427999998</v>
      </c>
      <c r="AR21" s="2">
        <f t="shared" si="27"/>
        <v>0</v>
      </c>
    </row>
    <row r="22" spans="1:44" x14ac:dyDescent="0.55000000000000004">
      <c r="A22">
        <f t="shared" si="4"/>
        <v>2009</v>
      </c>
      <c r="B22" s="2">
        <f t="shared" si="28"/>
        <v>19906.62923429544</v>
      </c>
      <c r="C22" s="2"/>
      <c r="D22" s="2">
        <f t="shared" si="29"/>
        <v>22067.10204739061</v>
      </c>
      <c r="E22" s="2">
        <f t="shared" si="29"/>
        <v>10710.927971040504</v>
      </c>
      <c r="F22" s="2"/>
      <c r="G22" s="2">
        <f t="shared" si="30"/>
        <v>21517.698595284313</v>
      </c>
      <c r="H22" s="2">
        <f t="shared" si="30"/>
        <v>25006.434122724117</v>
      </c>
      <c r="I22" s="2">
        <f t="shared" si="5"/>
        <v>99208.791970734979</v>
      </c>
      <c r="J22" s="2">
        <f t="shared" si="31"/>
        <v>20520.242542734981</v>
      </c>
      <c r="K22" s="6">
        <f t="shared" si="32"/>
        <v>0.26077799999999995</v>
      </c>
      <c r="L22" s="7">
        <f t="shared" si="33"/>
        <v>1.260778</v>
      </c>
      <c r="O22">
        <f t="shared" si="9"/>
        <v>2009</v>
      </c>
      <c r="P22" s="6">
        <f t="shared" si="10"/>
        <v>0.20065388196811812</v>
      </c>
      <c r="Q22" s="6"/>
      <c r="R22" s="6">
        <f t="shared" si="11"/>
        <v>0.22243091170689847</v>
      </c>
      <c r="S22" s="6">
        <f t="shared" si="11"/>
        <v>0.10796349555591865</v>
      </c>
      <c r="T22" s="6"/>
      <c r="U22" s="6">
        <f t="shared" si="10"/>
        <v>0.21689306126851834</v>
      </c>
      <c r="V22" s="34">
        <f t="shared" si="12"/>
        <v>0.25205864950054646</v>
      </c>
      <c r="W22" s="20">
        <f t="shared" si="34"/>
        <v>1</v>
      </c>
      <c r="Y22">
        <f t="shared" si="13"/>
        <v>2009</v>
      </c>
      <c r="Z22" s="1" t="b">
        <f t="shared" si="14"/>
        <v>1</v>
      </c>
      <c r="AB22" s="1" t="b">
        <f t="shared" si="15"/>
        <v>1</v>
      </c>
      <c r="AC22" s="1" t="b">
        <f t="shared" si="16"/>
        <v>1</v>
      </c>
      <c r="AE22" s="1" t="b">
        <f t="shared" si="17"/>
        <v>1</v>
      </c>
      <c r="AF22" s="1" t="b">
        <f t="shared" si="18"/>
        <v>1</v>
      </c>
      <c r="AG22" s="1" t="b">
        <f t="shared" si="19"/>
        <v>1</v>
      </c>
      <c r="AI22">
        <f t="shared" si="20"/>
        <v>2009</v>
      </c>
      <c r="AJ22" s="2">
        <f t="shared" ref="AJ22" si="35">B22</f>
        <v>19906.62923429544</v>
      </c>
      <c r="AK22" s="2"/>
      <c r="AL22" s="2">
        <f t="shared" ref="AL22" si="36">D22</f>
        <v>22067.10204739061</v>
      </c>
      <c r="AM22" s="2">
        <f t="shared" ref="AM22" si="37">E22</f>
        <v>10710.927971040504</v>
      </c>
      <c r="AN22" s="2"/>
      <c r="AO22" s="2">
        <f t="shared" ref="AO22" si="38">G22</f>
        <v>21517.698595284313</v>
      </c>
      <c r="AP22" s="2">
        <f t="shared" ref="AP22" si="39">H22</f>
        <v>25006.434122724117</v>
      </c>
      <c r="AQ22" s="2">
        <f t="shared" ref="AQ22" si="40">I22</f>
        <v>99208.791970734979</v>
      </c>
      <c r="AR22" s="2">
        <f t="shared" si="27"/>
        <v>0</v>
      </c>
    </row>
    <row r="23" spans="1:44" x14ac:dyDescent="0.55000000000000004">
      <c r="A23">
        <f t="shared" si="4"/>
        <v>2010</v>
      </c>
      <c r="B23" s="2">
        <f t="shared" si="28"/>
        <v>22874.707653128891</v>
      </c>
      <c r="C23" s="2"/>
      <c r="D23" s="2">
        <f t="shared" si="29"/>
        <v>27685.386228656258</v>
      </c>
      <c r="E23" s="2">
        <f t="shared" si="29"/>
        <v>13679.997204612933</v>
      </c>
      <c r="F23" s="2"/>
      <c r="G23" s="2">
        <f t="shared" si="30"/>
        <v>23910.466679079927</v>
      </c>
      <c r="H23" s="2">
        <f t="shared" si="30"/>
        <v>26611.847193403006</v>
      </c>
      <c r="I23" s="2">
        <f t="shared" ref="I23:I24" si="41">SUM(B23:H23)</f>
        <v>114762.40495888102</v>
      </c>
      <c r="J23" s="2">
        <f t="shared" si="31"/>
        <v>15553.612988146037</v>
      </c>
      <c r="K23" s="6">
        <f t="shared" si="32"/>
        <v>0.15677655860111778</v>
      </c>
      <c r="L23" s="7">
        <f t="shared" si="33"/>
        <v>1.1567765586011178</v>
      </c>
      <c r="O23">
        <f t="shared" si="9"/>
        <v>2010</v>
      </c>
      <c r="P23" s="6">
        <f t="shared" si="10"/>
        <v>0.19932230996139216</v>
      </c>
      <c r="Q23" s="6"/>
      <c r="R23" s="6">
        <f t="shared" si="11"/>
        <v>0.24124090322589387</v>
      </c>
      <c r="S23" s="6">
        <f t="shared" si="11"/>
        <v>0.11920277559113919</v>
      </c>
      <c r="T23" s="6"/>
      <c r="U23" s="6">
        <f t="shared" si="10"/>
        <v>0.20834755674253225</v>
      </c>
      <c r="V23" s="6">
        <f t="shared" si="12"/>
        <v>0.23188645447904252</v>
      </c>
      <c r="W23" s="20">
        <f t="shared" si="34"/>
        <v>1</v>
      </c>
      <c r="Y23">
        <f t="shared" si="13"/>
        <v>2010</v>
      </c>
      <c r="Z23" s="1" t="b">
        <f t="shared" si="14"/>
        <v>1</v>
      </c>
      <c r="AB23" s="1" t="b">
        <f t="shared" si="15"/>
        <v>1</v>
      </c>
      <c r="AC23" s="1" t="b">
        <f t="shared" si="16"/>
        <v>1</v>
      </c>
      <c r="AE23" s="1" t="b">
        <f t="shared" si="17"/>
        <v>1</v>
      </c>
      <c r="AF23" s="1" t="b">
        <f t="shared" si="18"/>
        <v>0</v>
      </c>
      <c r="AG23" s="1" t="b">
        <f t="shared" si="19"/>
        <v>1</v>
      </c>
      <c r="AI23">
        <f t="shared" si="20"/>
        <v>2010</v>
      </c>
      <c r="AJ23" s="24">
        <f>AJ$19*$AQ23</f>
        <v>22952.480991776203</v>
      </c>
      <c r="AK23" s="2"/>
      <c r="AL23" s="24">
        <f>AL$19*$AQ23</f>
        <v>22952.480991776203</v>
      </c>
      <c r="AM23" s="24">
        <f>AM$19*$AQ23</f>
        <v>11476.240495888102</v>
      </c>
      <c r="AN23" s="58"/>
      <c r="AO23" s="24">
        <f>AO$19*$AQ23</f>
        <v>22952.480991776203</v>
      </c>
      <c r="AP23" s="24">
        <f>AP$19*$AQ23</f>
        <v>34428.721487664305</v>
      </c>
      <c r="AQ23" s="2">
        <f t="shared" si="26"/>
        <v>114762.40495888102</v>
      </c>
      <c r="AR23" s="2">
        <f t="shared" si="27"/>
        <v>0</v>
      </c>
    </row>
    <row r="24" spans="1:44" x14ac:dyDescent="0.55000000000000004">
      <c r="A24">
        <f t="shared" si="4"/>
        <v>2011</v>
      </c>
      <c r="B24" s="2">
        <f t="shared" si="28"/>
        <v>23404.644867314197</v>
      </c>
      <c r="C24" s="2"/>
      <c r="D24" s="2">
        <f t="shared" si="29"/>
        <v>22468.183642849726</v>
      </c>
      <c r="E24" s="2">
        <f t="shared" si="29"/>
        <v>11154.905762003234</v>
      </c>
      <c r="F24" s="2"/>
      <c r="G24" s="2">
        <f t="shared" si="30"/>
        <v>19610.599759373588</v>
      </c>
      <c r="H24" s="2">
        <f t="shared" si="30"/>
        <v>37031.532832131728</v>
      </c>
      <c r="I24" s="2">
        <f t="shared" si="41"/>
        <v>113669.86686367248</v>
      </c>
      <c r="J24" s="2">
        <f t="shared" si="31"/>
        <v>-1092.5380952085397</v>
      </c>
      <c r="K24" s="6">
        <f t="shared" si="32"/>
        <v>-9.5199999999999348E-3</v>
      </c>
      <c r="L24" s="7">
        <f t="shared" si="33"/>
        <v>0.99048000000000003</v>
      </c>
      <c r="O24">
        <f t="shared" si="9"/>
        <v>2011</v>
      </c>
      <c r="P24" s="34">
        <f t="shared" si="10"/>
        <v>0.20590016961473226</v>
      </c>
      <c r="Q24" s="6"/>
      <c r="R24" s="6">
        <f t="shared" si="11"/>
        <v>0.19766173976253937</v>
      </c>
      <c r="S24" s="6">
        <f t="shared" si="11"/>
        <v>9.8134237945238664E-2</v>
      </c>
      <c r="T24" s="7"/>
      <c r="U24" s="6">
        <f t="shared" si="10"/>
        <v>0.17252241337533317</v>
      </c>
      <c r="V24" s="6">
        <f t="shared" si="12"/>
        <v>0.32578143930215653</v>
      </c>
      <c r="W24" s="20">
        <f t="shared" si="34"/>
        <v>1</v>
      </c>
      <c r="Y24">
        <f t="shared" si="13"/>
        <v>2011</v>
      </c>
      <c r="Z24" s="1" t="b">
        <f t="shared" si="14"/>
        <v>1</v>
      </c>
      <c r="AB24" s="1" t="b">
        <f t="shared" si="15"/>
        <v>1</v>
      </c>
      <c r="AC24" s="1" t="b">
        <f t="shared" si="16"/>
        <v>1</v>
      </c>
      <c r="AE24" s="1" t="b">
        <f t="shared" si="17"/>
        <v>1</v>
      </c>
      <c r="AF24" s="1" t="b">
        <f t="shared" si="18"/>
        <v>1</v>
      </c>
      <c r="AG24" s="1" t="b">
        <f t="shared" si="19"/>
        <v>1</v>
      </c>
      <c r="AI24">
        <f t="shared" si="20"/>
        <v>2011</v>
      </c>
      <c r="AJ24" s="58">
        <f t="shared" ref="AJ24" si="42">B24</f>
        <v>23404.644867314197</v>
      </c>
      <c r="AK24" s="58"/>
      <c r="AL24" s="58">
        <f t="shared" ref="AL24" si="43">D24</f>
        <v>22468.183642849726</v>
      </c>
      <c r="AM24" s="58">
        <f t="shared" ref="AM24" si="44">E24</f>
        <v>11154.905762003234</v>
      </c>
      <c r="AN24" s="58"/>
      <c r="AO24" s="2">
        <f t="shared" ref="AO24" si="45">G24</f>
        <v>19610.599759373588</v>
      </c>
      <c r="AP24" s="2">
        <f t="shared" ref="AP24" si="46">H24</f>
        <v>37031.532832131728</v>
      </c>
      <c r="AQ24" s="2">
        <f t="shared" si="26"/>
        <v>113669.86686367248</v>
      </c>
      <c r="AR24" s="2">
        <f t="shared" si="27"/>
        <v>0</v>
      </c>
    </row>
    <row r="25" spans="1:44" x14ac:dyDescent="0.55000000000000004">
      <c r="A25">
        <f t="shared" si="4"/>
        <v>2012</v>
      </c>
      <c r="B25" s="2">
        <f t="shared" si="28"/>
        <v>27107.259685323301</v>
      </c>
      <c r="C25" s="2"/>
      <c r="D25" s="2">
        <f t="shared" si="29"/>
        <v>26018.156658419983</v>
      </c>
      <c r="E25" s="2">
        <f t="shared" si="29"/>
        <v>13167.25076146862</v>
      </c>
      <c r="F25" s="2"/>
      <c r="G25" s="2">
        <f t="shared" si="30"/>
        <v>23167.962555723956</v>
      </c>
      <c r="H25" s="2">
        <f t="shared" si="30"/>
        <v>38531.309911833065</v>
      </c>
      <c r="I25" s="2">
        <f t="shared" ref="I25:I27" si="47">SUM(B25:H25)</f>
        <v>127991.93957276893</v>
      </c>
      <c r="J25" s="2">
        <f t="shared" ref="J25:J27" si="48">I25-I24</f>
        <v>14322.07270909645</v>
      </c>
      <c r="K25" s="6">
        <f t="shared" ref="K25:K27" si="49">(J25/I24)</f>
        <v>0.12599709231887568</v>
      </c>
      <c r="L25" s="7">
        <f t="shared" ref="L25:L27" si="50">K25+1</f>
        <v>1.1259970923188756</v>
      </c>
      <c r="O25">
        <f t="shared" ref="O25:O27" si="51">A25</f>
        <v>2012</v>
      </c>
      <c r="P25" s="6">
        <f t="shared" ref="P25:P27" si="52">B25/$I25</f>
        <v>0.21178880307467843</v>
      </c>
      <c r="Q25" s="6"/>
      <c r="R25" s="6">
        <f t="shared" ref="R25:R27" si="53">D25/$I25</f>
        <v>0.20327964983785202</v>
      </c>
      <c r="S25" s="6">
        <f t="shared" ref="S25:S27" si="54">E25/$I25</f>
        <v>0.1028756248668493</v>
      </c>
      <c r="T25" s="6"/>
      <c r="U25" s="6">
        <f t="shared" ref="U25:U27" si="55">G25/$I25</f>
        <v>0.18101110611385002</v>
      </c>
      <c r="V25" s="6">
        <f t="shared" ref="V25:V27" si="56">H25/$I25</f>
        <v>0.3010448161067702</v>
      </c>
      <c r="W25" s="20">
        <f t="shared" ref="W25:W27" si="57">SUM(P25:V25)</f>
        <v>1</v>
      </c>
      <c r="Y25">
        <f t="shared" ref="Y25:Y27" si="58">O25</f>
        <v>2012</v>
      </c>
      <c r="Z25" s="1" t="b">
        <f t="shared" ref="Z25:Z27" si="59">AND((B25/$I25)&gt;0.15,(B25/$I25)&lt;0.25)</f>
        <v>1</v>
      </c>
      <c r="AB25" s="1" t="b">
        <f t="shared" ref="AB25:AB27" si="60">AND((D25/$I25)&gt;0.15,(D25/$I25)&lt;0.25)</f>
        <v>1</v>
      </c>
      <c r="AC25" s="1" t="b">
        <f t="shared" ref="AC25:AC27" si="61">AND((E25/$I25)&gt;0.05,(E25/$I25)&lt;0.15)</f>
        <v>1</v>
      </c>
      <c r="AE25" s="1" t="b">
        <f t="shared" ref="AE25:AE27" si="62">AND((G25/$I25)&gt;0.15,(G25/$I25)&lt;0.25)</f>
        <v>1</v>
      </c>
      <c r="AF25" s="1" t="b">
        <f t="shared" ref="AF25:AF27" si="63">AND((H25/$I25)&gt;0.25,(H25/$I25)&lt;0.35)</f>
        <v>1</v>
      </c>
      <c r="AG25" s="1" t="b">
        <f t="shared" ref="AG25:AG27" si="64">AND((I25/$I25)&gt;0.999,(I25/$I25)&lt;1.01)</f>
        <v>1</v>
      </c>
      <c r="AI25">
        <f t="shared" ref="AI25:AI27" si="65">A25</f>
        <v>2012</v>
      </c>
      <c r="AJ25" s="58">
        <f t="shared" ref="AJ25:AJ27" si="66">B25</f>
        <v>27107.259685323301</v>
      </c>
      <c r="AK25" s="58"/>
      <c r="AL25" s="58">
        <f t="shared" ref="AL25:AL27" si="67">D25</f>
        <v>26018.156658419983</v>
      </c>
      <c r="AM25" s="58">
        <f t="shared" ref="AM25:AM27" si="68">E25</f>
        <v>13167.25076146862</v>
      </c>
      <c r="AN25" s="58"/>
      <c r="AO25" s="2">
        <f t="shared" ref="AO25:AO27" si="69">G25</f>
        <v>23167.962555723956</v>
      </c>
      <c r="AP25" s="2">
        <f t="shared" ref="AP25:AP27" si="70">H25</f>
        <v>38531.309911833065</v>
      </c>
      <c r="AQ25" s="2">
        <f t="shared" ref="AQ25:AQ27" si="71">I25</f>
        <v>127991.93957276893</v>
      </c>
      <c r="AR25" s="2">
        <f t="shared" ref="AR25:AR27" si="72">(SUM(AJ25:AP25))-AQ25</f>
        <v>0</v>
      </c>
    </row>
    <row r="26" spans="1:44" x14ac:dyDescent="0.55000000000000004">
      <c r="A26">
        <f t="shared" si="4"/>
        <v>2013</v>
      </c>
      <c r="B26" s="2">
        <f t="shared" si="28"/>
        <v>35830.375852060344</v>
      </c>
      <c r="C26" s="2"/>
      <c r="D26" s="2">
        <f t="shared" si="29"/>
        <v>35124.511488866978</v>
      </c>
      <c r="E26" s="2">
        <f t="shared" si="29"/>
        <v>18120.770497933114</v>
      </c>
      <c r="F26" s="2"/>
      <c r="G26" s="2">
        <f t="shared" si="30"/>
        <v>26652.424124104837</v>
      </c>
      <c r="H26" s="2">
        <f t="shared" si="30"/>
        <v>37660.502307825642</v>
      </c>
      <c r="I26" s="2">
        <f t="shared" si="47"/>
        <v>153388.58427079092</v>
      </c>
      <c r="J26" s="2">
        <f t="shared" si="48"/>
        <v>25396.644698021992</v>
      </c>
      <c r="K26" s="6">
        <f t="shared" si="49"/>
        <v>0.19842378186309853</v>
      </c>
      <c r="L26" s="7">
        <f t="shared" si="50"/>
        <v>1.1984237818630985</v>
      </c>
      <c r="O26">
        <f t="shared" si="51"/>
        <v>2013</v>
      </c>
      <c r="P26" s="6">
        <f t="shared" si="52"/>
        <v>0.23359219346340468</v>
      </c>
      <c r="Q26" s="6"/>
      <c r="R26" s="6">
        <f t="shared" si="53"/>
        <v>0.22899038840373193</v>
      </c>
      <c r="S26" s="6">
        <f t="shared" si="54"/>
        <v>0.11813636969191174</v>
      </c>
      <c r="T26" s="6"/>
      <c r="U26" s="6">
        <f t="shared" si="55"/>
        <v>0.17375754689183956</v>
      </c>
      <c r="V26" s="6">
        <f t="shared" si="56"/>
        <v>0.24552350154911207</v>
      </c>
      <c r="W26" s="20">
        <f t="shared" si="57"/>
        <v>1</v>
      </c>
      <c r="Y26">
        <f t="shared" si="58"/>
        <v>2013</v>
      </c>
      <c r="Z26" s="1" t="b">
        <f t="shared" si="59"/>
        <v>1</v>
      </c>
      <c r="AB26" s="1" t="b">
        <f t="shared" si="60"/>
        <v>1</v>
      </c>
      <c r="AC26" s="1" t="b">
        <f t="shared" si="61"/>
        <v>1</v>
      </c>
      <c r="AE26" s="1" t="b">
        <f t="shared" si="62"/>
        <v>1</v>
      </c>
      <c r="AF26" s="1" t="b">
        <f t="shared" si="18"/>
        <v>0</v>
      </c>
      <c r="AG26" s="1" t="b">
        <f t="shared" si="64"/>
        <v>1</v>
      </c>
      <c r="AI26">
        <f t="shared" si="65"/>
        <v>2013</v>
      </c>
      <c r="AJ26" s="24">
        <f>AJ$19*$AQ26</f>
        <v>30677.716854158185</v>
      </c>
      <c r="AK26" s="2"/>
      <c r="AL26" s="24">
        <f>AL$19*$AQ26</f>
        <v>30677.716854158185</v>
      </c>
      <c r="AM26" s="24">
        <f>AM$19*$AQ26</f>
        <v>15338.858427079093</v>
      </c>
      <c r="AN26" s="58"/>
      <c r="AO26" s="24">
        <f>AO$19*$AQ26</f>
        <v>30677.716854158185</v>
      </c>
      <c r="AP26" s="24">
        <f>AP$19*$AQ26</f>
        <v>46016.575281237274</v>
      </c>
      <c r="AQ26" s="2">
        <f t="shared" si="71"/>
        <v>153388.58427079092</v>
      </c>
      <c r="AR26" s="2">
        <f t="shared" si="72"/>
        <v>0</v>
      </c>
    </row>
    <row r="27" spans="1:44" x14ac:dyDescent="0.55000000000000004">
      <c r="A27">
        <f t="shared" si="4"/>
        <v>2014</v>
      </c>
      <c r="B27" s="2">
        <f t="shared" si="28"/>
        <v>34822.276401154959</v>
      </c>
      <c r="C27" s="2"/>
      <c r="D27" s="2">
        <f t="shared" si="29"/>
        <v>34849.886346323699</v>
      </c>
      <c r="E27" s="2">
        <f t="shared" si="29"/>
        <v>16469.332293154825</v>
      </c>
      <c r="F27" s="2"/>
      <c r="G27" s="2">
        <f t="shared" si="30"/>
        <v>29376.981659541878</v>
      </c>
      <c r="H27" s="2">
        <f t="shared" si="30"/>
        <v>48667.130017436546</v>
      </c>
      <c r="I27" s="2">
        <f t="shared" si="47"/>
        <v>164185.6067176119</v>
      </c>
      <c r="J27" s="2">
        <f t="shared" si="48"/>
        <v>10797.022446820978</v>
      </c>
      <c r="K27" s="6">
        <f t="shared" si="49"/>
        <v>7.0390000000000036E-2</v>
      </c>
      <c r="L27" s="7">
        <f t="shared" si="50"/>
        <v>1.07039</v>
      </c>
      <c r="O27">
        <f t="shared" si="51"/>
        <v>2014</v>
      </c>
      <c r="P27" s="6">
        <f t="shared" si="52"/>
        <v>0.21209092013191455</v>
      </c>
      <c r="Q27" s="6"/>
      <c r="R27" s="6">
        <f t="shared" si="53"/>
        <v>0.21225908313792169</v>
      </c>
      <c r="S27" s="6">
        <f t="shared" si="54"/>
        <v>0.10030923308326874</v>
      </c>
      <c r="T27" s="6"/>
      <c r="U27" s="6">
        <f t="shared" si="55"/>
        <v>0.17892543839161426</v>
      </c>
      <c r="V27" s="6">
        <f t="shared" si="56"/>
        <v>0.2964153252552808</v>
      </c>
      <c r="W27" s="20">
        <f t="shared" si="57"/>
        <v>1</v>
      </c>
      <c r="Y27">
        <f t="shared" si="58"/>
        <v>2014</v>
      </c>
      <c r="Z27" s="1" t="b">
        <f t="shared" si="59"/>
        <v>1</v>
      </c>
      <c r="AB27" s="1" t="b">
        <f t="shared" si="60"/>
        <v>1</v>
      </c>
      <c r="AC27" s="1" t="b">
        <f t="shared" si="61"/>
        <v>1</v>
      </c>
      <c r="AE27" s="1" t="b">
        <f t="shared" si="62"/>
        <v>1</v>
      </c>
      <c r="AF27" s="1" t="b">
        <f t="shared" si="63"/>
        <v>1</v>
      </c>
      <c r="AG27" s="1" t="b">
        <f t="shared" si="64"/>
        <v>1</v>
      </c>
      <c r="AI27">
        <f t="shared" si="65"/>
        <v>2014</v>
      </c>
      <c r="AJ27" s="58">
        <f t="shared" si="66"/>
        <v>34822.276401154959</v>
      </c>
      <c r="AK27" s="58"/>
      <c r="AL27" s="58">
        <f t="shared" si="67"/>
        <v>34849.886346323699</v>
      </c>
      <c r="AM27" s="58">
        <f t="shared" si="68"/>
        <v>16469.332293154825</v>
      </c>
      <c r="AN27" s="58"/>
      <c r="AO27" s="2">
        <f t="shared" si="69"/>
        <v>29376.981659541878</v>
      </c>
      <c r="AP27" s="2">
        <f t="shared" si="70"/>
        <v>48667.130017436546</v>
      </c>
      <c r="AQ27" s="2">
        <f t="shared" si="71"/>
        <v>164185.6067176119</v>
      </c>
      <c r="AR27" s="2">
        <f t="shared" si="72"/>
        <v>0</v>
      </c>
    </row>
    <row r="28" spans="1:44" x14ac:dyDescent="0.55000000000000004">
      <c r="A28">
        <f t="shared" ref="A28:A29" si="73">A12</f>
        <v>2015</v>
      </c>
      <c r="B28" s="2">
        <f t="shared" ref="B28:B29" si="74">AJ27*(1+(B12/100))</f>
        <v>35257.554856169394</v>
      </c>
      <c r="C28" s="2"/>
      <c r="D28" s="2">
        <f t="shared" ref="D28:E28" si="75">AL27*(1+(D12/100))</f>
        <v>34341.078005667376</v>
      </c>
      <c r="E28" s="2">
        <f t="shared" si="75"/>
        <v>15846.791532473571</v>
      </c>
      <c r="F28" s="2"/>
      <c r="G28" s="2">
        <f t="shared" ref="G28:H28" si="76">AO27*(1+(G12/100))</f>
        <v>28093.207561019899</v>
      </c>
      <c r="H28" s="2">
        <f t="shared" si="76"/>
        <v>48813.131407488851</v>
      </c>
      <c r="I28" s="2">
        <f t="shared" ref="I28:I29" si="77">SUM(B28:H28)</f>
        <v>162351.7633628191</v>
      </c>
      <c r="J28" s="2">
        <f t="shared" ref="J28:J29" si="78">I28-I27</f>
        <v>-1833.8433547927998</v>
      </c>
      <c r="K28" s="6">
        <f t="shared" ref="K28:K29" si="79">(J28/I27)</f>
        <v>-1.1169330804659912E-2</v>
      </c>
      <c r="L28" s="7">
        <f t="shared" ref="L28:L29" si="80">K28+1</f>
        <v>0.98883066919534013</v>
      </c>
      <c r="O28">
        <f t="shared" ref="O28:O29" si="81">A28</f>
        <v>2015</v>
      </c>
      <c r="P28" s="6">
        <f t="shared" ref="P28:P29" si="82">B28/$I28</f>
        <v>0.21716767422708441</v>
      </c>
      <c r="Q28" s="6"/>
      <c r="R28" s="6">
        <f t="shared" ref="R28:R29" si="83">D28/$I28</f>
        <v>0.21152266716637325</v>
      </c>
      <c r="S28" s="6">
        <f t="shared" ref="S28:S29" si="84">E28/$I28</f>
        <v>9.7607757404270468E-2</v>
      </c>
      <c r="T28" s="6"/>
      <c r="U28" s="6">
        <f t="shared" ref="U28:U29" si="85">G28/$I28</f>
        <v>0.17303912799664514</v>
      </c>
      <c r="V28" s="6">
        <f t="shared" ref="V28:V29" si="86">H28/$I28</f>
        <v>0.30066277320562668</v>
      </c>
      <c r="W28" s="20">
        <f t="shared" ref="W28:W29" si="87">SUM(P28:V28)</f>
        <v>1</v>
      </c>
      <c r="Y28">
        <f t="shared" ref="Y28:Y29" si="88">O28</f>
        <v>2015</v>
      </c>
      <c r="Z28" s="1" t="b">
        <f t="shared" ref="Z28:Z29" si="89">AND((B28/$I28)&gt;0.15,(B28/$I28)&lt;0.25)</f>
        <v>1</v>
      </c>
      <c r="AB28" s="1" t="b">
        <f t="shared" ref="AB28:AB29" si="90">AND((D28/$I28)&gt;0.15,(D28/$I28)&lt;0.25)</f>
        <v>1</v>
      </c>
      <c r="AC28" s="1" t="b">
        <f t="shared" ref="AC28:AC29" si="91">AND((E28/$I28)&gt;0.05,(E28/$I28)&lt;0.15)</f>
        <v>1</v>
      </c>
      <c r="AE28" s="1" t="b">
        <f t="shared" ref="AE28:AE29" si="92">AND((G28/$I28)&gt;0.15,(G28/$I28)&lt;0.25)</f>
        <v>1</v>
      </c>
      <c r="AF28" s="1" t="b">
        <f t="shared" ref="AF28:AF29" si="93">AND((H28/$I28)&gt;0.25,(H28/$I28)&lt;0.35)</f>
        <v>1</v>
      </c>
      <c r="AG28" s="1" t="b">
        <f t="shared" ref="AG28:AG29" si="94">AND((I28/$I28)&gt;0.999,(I28/$I28)&lt;1.01)</f>
        <v>1</v>
      </c>
      <c r="AI28">
        <f t="shared" ref="AI28:AI29" si="95">A28</f>
        <v>2015</v>
      </c>
      <c r="AJ28" s="58">
        <f t="shared" ref="AJ28:AJ29" si="96">B28</f>
        <v>35257.554856169394</v>
      </c>
      <c r="AK28" s="58"/>
      <c r="AL28" s="58">
        <f t="shared" ref="AL28:AL29" si="97">D28</f>
        <v>34341.078005667376</v>
      </c>
      <c r="AM28" s="58">
        <f t="shared" ref="AM28:AM29" si="98">E28</f>
        <v>15846.791532473571</v>
      </c>
      <c r="AN28" s="58"/>
      <c r="AO28" s="2">
        <f t="shared" ref="AO28:AO29" si="99">G28</f>
        <v>28093.207561019899</v>
      </c>
      <c r="AP28" s="2">
        <f t="shared" ref="AP28:AP29" si="100">H28</f>
        <v>48813.131407488851</v>
      </c>
      <c r="AQ28" s="2">
        <f t="shared" ref="AQ28:AQ29" si="101">I28</f>
        <v>162351.7633628191</v>
      </c>
      <c r="AR28" s="2">
        <f t="shared" ref="AR28:AR29" si="102">(SUM(AJ28:AP28))-AQ28</f>
        <v>0</v>
      </c>
    </row>
    <row r="29" spans="1:44" x14ac:dyDescent="0.55000000000000004">
      <c r="A29">
        <f t="shared" si="73"/>
        <v>2016</v>
      </c>
      <c r="B29" s="2">
        <f t="shared" si="74"/>
        <v>39424.997840168617</v>
      </c>
      <c r="C29" s="2"/>
      <c r="D29" s="2">
        <f t="shared" ref="D29:E29" si="103">AL28*(1+(D13/100))</f>
        <v>38142.635340894754</v>
      </c>
      <c r="E29" s="2">
        <f t="shared" si="103"/>
        <v>18726.153553924018</v>
      </c>
      <c r="F29" s="2"/>
      <c r="G29" s="2">
        <f t="shared" ref="G29:H29" si="104">AO28*(1+(G13/100))</f>
        <v>29399.541712607323</v>
      </c>
      <c r="H29" s="2">
        <f t="shared" si="104"/>
        <v>50033.459692676064</v>
      </c>
      <c r="I29" s="2">
        <f t="shared" si="77"/>
        <v>175726.78814027077</v>
      </c>
      <c r="J29" s="2">
        <f t="shared" si="78"/>
        <v>13375.024777451676</v>
      </c>
      <c r="K29" s="6">
        <f t="shared" si="79"/>
        <v>8.2382996651299389E-2</v>
      </c>
      <c r="L29" s="7">
        <f t="shared" si="80"/>
        <v>1.0823829966512994</v>
      </c>
      <c r="O29">
        <f t="shared" si="81"/>
        <v>2016</v>
      </c>
      <c r="P29" s="6">
        <f t="shared" si="82"/>
        <v>0.22435394317170537</v>
      </c>
      <c r="Q29" s="6"/>
      <c r="R29" s="6">
        <f t="shared" si="83"/>
        <v>0.21705646443869489</v>
      </c>
      <c r="S29" s="6">
        <f t="shared" si="84"/>
        <v>0.10656402334615141</v>
      </c>
      <c r="T29" s="6"/>
      <c r="U29" s="6">
        <f t="shared" si="85"/>
        <v>0.16730256111629185</v>
      </c>
      <c r="V29" s="6">
        <f t="shared" si="86"/>
        <v>0.28472300792715649</v>
      </c>
      <c r="W29" s="20">
        <f t="shared" si="87"/>
        <v>1</v>
      </c>
      <c r="Y29">
        <f t="shared" si="88"/>
        <v>2016</v>
      </c>
      <c r="Z29" s="1" t="b">
        <f t="shared" si="89"/>
        <v>1</v>
      </c>
      <c r="AB29" s="1" t="b">
        <f t="shared" si="90"/>
        <v>1</v>
      </c>
      <c r="AC29" s="1" t="b">
        <f t="shared" si="91"/>
        <v>1</v>
      </c>
      <c r="AE29" s="1" t="b">
        <f t="shared" si="92"/>
        <v>1</v>
      </c>
      <c r="AF29" s="1" t="b">
        <f t="shared" si="93"/>
        <v>1</v>
      </c>
      <c r="AG29" s="1" t="b">
        <f t="shared" si="94"/>
        <v>1</v>
      </c>
      <c r="AI29">
        <f t="shared" si="95"/>
        <v>2016</v>
      </c>
      <c r="AJ29" s="58">
        <f t="shared" si="96"/>
        <v>39424.997840168617</v>
      </c>
      <c r="AK29" s="58"/>
      <c r="AL29" s="58">
        <f t="shared" si="97"/>
        <v>38142.635340894754</v>
      </c>
      <c r="AM29" s="58">
        <f t="shared" si="98"/>
        <v>18726.153553924018</v>
      </c>
      <c r="AN29" s="58"/>
      <c r="AO29" s="2">
        <f t="shared" si="99"/>
        <v>29399.541712607323</v>
      </c>
      <c r="AP29" s="2">
        <f t="shared" si="100"/>
        <v>50033.459692676064</v>
      </c>
      <c r="AQ29" s="2">
        <f t="shared" si="101"/>
        <v>175726.78814027077</v>
      </c>
      <c r="AR29" s="2">
        <f t="shared" si="102"/>
        <v>0</v>
      </c>
    </row>
    <row r="30" spans="1:44" x14ac:dyDescent="0.55000000000000004">
      <c r="A30" s="9" t="s">
        <v>46</v>
      </c>
      <c r="B30" s="10">
        <f>AJ29</f>
        <v>39424.997840168617</v>
      </c>
      <c r="C30" s="10"/>
      <c r="D30" s="10">
        <f>AL29</f>
        <v>38142.635340894754</v>
      </c>
      <c r="E30" s="10">
        <f>AM29</f>
        <v>18726.153553924018</v>
      </c>
      <c r="F30" s="10"/>
      <c r="G30" s="10">
        <f>AO29</f>
        <v>29399.541712607323</v>
      </c>
      <c r="H30" s="10">
        <f>AP29</f>
        <v>50033.459692676064</v>
      </c>
      <c r="I30" s="10">
        <f>SUM(B30:H30)</f>
        <v>175726.78814027077</v>
      </c>
      <c r="J30" s="10"/>
      <c r="K30" s="10"/>
    </row>
    <row r="31" spans="1:44" x14ac:dyDescent="0.55000000000000004">
      <c r="A31" s="11" t="s">
        <v>47</v>
      </c>
      <c r="I31" s="6">
        <f>(I30-I19)/I19</f>
        <v>0.75726788140270773</v>
      </c>
      <c r="K31" s="6"/>
    </row>
    <row r="32" spans="1:44" x14ac:dyDescent="0.55000000000000004">
      <c r="A32" s="1" t="s">
        <v>48</v>
      </c>
      <c r="I32" s="25">
        <f>STDEV(L20:L29)</f>
        <v>0.14576682225613397</v>
      </c>
      <c r="K32" s="26"/>
    </row>
    <row r="33" spans="1:11" x14ac:dyDescent="0.55000000000000004">
      <c r="A33" s="1" t="s">
        <v>49</v>
      </c>
      <c r="I33" s="13">
        <f>((1+I31)^(1/I38))-1</f>
        <v>5.7995443039675409E-2</v>
      </c>
      <c r="K33" s="26"/>
    </row>
    <row r="34" spans="1:11" x14ac:dyDescent="0.55000000000000004">
      <c r="A34" s="1" t="s">
        <v>50</v>
      </c>
      <c r="I34" s="27">
        <f>J21</f>
        <v>-28889.650571999999</v>
      </c>
    </row>
    <row r="35" spans="1:11" x14ac:dyDescent="0.55000000000000004">
      <c r="A35" s="1" t="s">
        <v>51</v>
      </c>
      <c r="I35" s="28">
        <f>K21</f>
        <v>-0.26854558425405889</v>
      </c>
    </row>
    <row r="36" spans="1:11" x14ac:dyDescent="0.55000000000000004">
      <c r="A36" s="3" t="s">
        <v>52</v>
      </c>
      <c r="I36" s="29">
        <f>I30-I29</f>
        <v>0</v>
      </c>
    </row>
    <row r="37" spans="1:11" x14ac:dyDescent="0.55000000000000004">
      <c r="A37" s="3" t="s">
        <v>147</v>
      </c>
      <c r="I37" s="29">
        <f>((SUM(J20:J29))-(I30-I19))</f>
        <v>0</v>
      </c>
    </row>
    <row r="38" spans="1:11" x14ac:dyDescent="0.55000000000000004">
      <c r="A38" s="3" t="s">
        <v>154</v>
      </c>
      <c r="I38" s="3">
        <f>COUNTA(I20:I29)</f>
        <v>10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
  <sheetViews>
    <sheetView topLeftCell="A8" zoomScaleNormal="100" workbookViewId="0">
      <selection activeCell="I33" sqref="I33"/>
    </sheetView>
  </sheetViews>
  <sheetFormatPr defaultColWidth="8.83984375" defaultRowHeight="14.4" x14ac:dyDescent="0.55000000000000004"/>
  <cols>
    <col min="1" max="1" width="25.41796875" customWidth="1"/>
    <col min="9" max="9" width="11.68359375" customWidth="1"/>
    <col min="10" max="10" width="10" bestFit="1" customWidth="1"/>
    <col min="26" max="26" width="10.83984375" bestFit="1" customWidth="1"/>
    <col min="33" max="33" width="9.26171875" bestFit="1" customWidth="1"/>
  </cols>
  <sheetData>
    <row r="1" spans="1:25" x14ac:dyDescent="0.55000000000000004">
      <c r="A1" t="s">
        <v>19</v>
      </c>
    </row>
    <row r="2" spans="1:25" x14ac:dyDescent="0.55000000000000004">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25" x14ac:dyDescent="0.55000000000000004">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25" x14ac:dyDescent="0.55000000000000004">
      <c r="A4" s="16">
        <f>'Non-Rebalanced Strategy'!A4</f>
        <v>2007</v>
      </c>
      <c r="B4" s="16">
        <f>'Non-Rebalanced Strategy'!B4</f>
        <v>5.39</v>
      </c>
      <c r="C4" s="16">
        <f>'Non-Rebalanced Strategy'!C4</f>
        <v>0</v>
      </c>
      <c r="D4" s="17">
        <f>'Non-Rebalanced Strategy'!D4</f>
        <v>6.0209999999999999</v>
      </c>
      <c r="E4" s="17">
        <f>'Non-Rebalanced Strategy'!E4</f>
        <v>1.1559999999999999</v>
      </c>
      <c r="F4" s="16">
        <f>'Non-Rebalanced Strategy'!F4</f>
        <v>0</v>
      </c>
      <c r="G4" s="17">
        <f>'Non-Rebalanced Strategy'!G4</f>
        <v>15.522</v>
      </c>
      <c r="H4" s="17">
        <f>'Non-Rebalanced Strategy'!H4</f>
        <v>6.92</v>
      </c>
    </row>
    <row r="5" spans="1:25" x14ac:dyDescent="0.55000000000000004">
      <c r="A5" s="16">
        <f>'Non-Rebalanced Strategy'!A5</f>
        <v>2008</v>
      </c>
      <c r="B5" s="16">
        <f>'Non-Rebalanced Strategy'!B5</f>
        <v>-37.020000000000003</v>
      </c>
      <c r="C5" s="16">
        <f>'Non-Rebalanced Strategy'!C5</f>
        <v>0</v>
      </c>
      <c r="D5" s="17">
        <f>'Non-Rebalanced Strategy'!D5</f>
        <v>-41.823999999999998</v>
      </c>
      <c r="E5" s="17">
        <f>'Non-Rebalanced Strategy'!E5</f>
        <v>-36.07</v>
      </c>
      <c r="F5" s="16">
        <f>'Non-Rebalanced Strategy'!F5</f>
        <v>0</v>
      </c>
      <c r="G5" s="17">
        <f>'Non-Rebalanced Strategy'!G5</f>
        <v>-44.100999999999999</v>
      </c>
      <c r="H5" s="17">
        <f>'Non-Rebalanced Strategy'!H5</f>
        <v>5.05</v>
      </c>
    </row>
    <row r="6" spans="1:25" x14ac:dyDescent="0.55000000000000004">
      <c r="A6" s="16">
        <f>'Non-Rebalanced Strategy'!A6</f>
        <v>2009</v>
      </c>
      <c r="B6" s="16">
        <f>'Non-Rebalanced Strategy'!B6</f>
        <v>26.49</v>
      </c>
      <c r="C6" s="16">
        <f>'Non-Rebalanced Strategy'!C6</f>
        <v>0</v>
      </c>
      <c r="D6" s="17">
        <f>'Non-Rebalanced Strategy'!D6</f>
        <v>40.218000000000004</v>
      </c>
      <c r="E6" s="17">
        <f>'Non-Rebalanced Strategy'!E6</f>
        <v>36.118000000000002</v>
      </c>
      <c r="F6" s="16">
        <f>'Non-Rebalanced Strategy'!F6</f>
        <v>0</v>
      </c>
      <c r="G6" s="17">
        <f>'Non-Rebalanced Strategy'!G6</f>
        <v>36.726999999999997</v>
      </c>
      <c r="H6" s="17">
        <f>'Non-Rebalanced Strategy'!H6</f>
        <v>5.93</v>
      </c>
    </row>
    <row r="7" spans="1:25" x14ac:dyDescent="0.55000000000000004">
      <c r="A7" s="16">
        <f>'Non-Rebalanced Strategy'!A7</f>
        <v>2010</v>
      </c>
      <c r="B7" s="16">
        <f>'Non-Rebalanced Strategy'!B7</f>
        <v>14.91</v>
      </c>
      <c r="C7" s="16">
        <f>'Non-Rebalanced Strategy'!C7</f>
        <v>0</v>
      </c>
      <c r="D7" s="17">
        <f>'Non-Rebalanced Strategy'!D7</f>
        <v>25.46</v>
      </c>
      <c r="E7" s="17">
        <f>'Non-Rebalanced Strategy'!E7</f>
        <v>27.72</v>
      </c>
      <c r="F7" s="16">
        <f>'Non-Rebalanced Strategy'!F7</f>
        <v>0</v>
      </c>
      <c r="G7" s="17">
        <f>'Non-Rebalanced Strategy'!G7</f>
        <v>11.12</v>
      </c>
      <c r="H7" s="17">
        <f>'Non-Rebalanced Strategy'!H7</f>
        <v>6.42</v>
      </c>
    </row>
    <row r="8" spans="1:25" x14ac:dyDescent="0.55000000000000004">
      <c r="A8" s="16">
        <f>'Non-Rebalanced Strategy'!A8</f>
        <v>2011</v>
      </c>
      <c r="B8" s="16">
        <f>'Non-Rebalanced Strategy'!B8</f>
        <v>1.97</v>
      </c>
      <c r="C8" s="16">
        <f>'Non-Rebalanced Strategy'!C8</f>
        <v>0</v>
      </c>
      <c r="D8" s="17">
        <f>'Non-Rebalanced Strategy'!D8</f>
        <v>-2.11</v>
      </c>
      <c r="E8" s="17">
        <f>'Non-Rebalanced Strategy'!E8</f>
        <v>-2.8</v>
      </c>
      <c r="F8" s="16">
        <f>'Non-Rebalanced Strategy'!F8</f>
        <v>0</v>
      </c>
      <c r="G8" s="17">
        <f>'Non-Rebalanced Strategy'!G8</f>
        <v>-14.56</v>
      </c>
      <c r="H8" s="17">
        <f>'Non-Rebalanced Strategy'!H8</f>
        <v>7.56</v>
      </c>
    </row>
    <row r="9" spans="1:25" x14ac:dyDescent="0.55000000000000004">
      <c r="A9" s="16">
        <f>'Non-Rebalanced Strategy'!A9</f>
        <v>2012</v>
      </c>
      <c r="B9" s="16">
        <f>'Non-Rebalanced Strategy'!B9</f>
        <v>15.82</v>
      </c>
      <c r="C9" s="16">
        <f>'Non-Rebalanced Strategy'!C9</f>
        <v>0</v>
      </c>
      <c r="D9" s="17">
        <f>'Non-Rebalanced Strategy'!D9</f>
        <v>15.8</v>
      </c>
      <c r="E9" s="17">
        <f>'Non-Rebalanced Strategy'!E9</f>
        <v>18.04</v>
      </c>
      <c r="F9" s="16">
        <f>'Non-Rebalanced Strategy'!F9</f>
        <v>0</v>
      </c>
      <c r="G9" s="17">
        <f>'Non-Rebalanced Strategy'!G9</f>
        <v>18.14</v>
      </c>
      <c r="H9" s="17">
        <f>'Non-Rebalanced Strategy'!H9</f>
        <v>4.05</v>
      </c>
    </row>
    <row r="10" spans="1:25" x14ac:dyDescent="0.55000000000000004">
      <c r="A10" s="16">
        <f>'Non-Rebalanced Strategy'!A10</f>
        <v>2013</v>
      </c>
      <c r="B10" s="16">
        <f>'Non-Rebalanced Strategy'!B10</f>
        <v>32.18</v>
      </c>
      <c r="C10" s="16">
        <f>'Non-Rebalanced Strategy'!C10</f>
        <v>0</v>
      </c>
      <c r="D10" s="17">
        <f>'Non-Rebalanced Strategy'!D10</f>
        <v>35</v>
      </c>
      <c r="E10" s="17">
        <f>'Non-Rebalanced Strategy'!E10</f>
        <v>37.619999999999997</v>
      </c>
      <c r="F10" s="16">
        <f>'Non-Rebalanced Strategy'!F10</f>
        <v>0</v>
      </c>
      <c r="G10" s="17">
        <f>'Non-Rebalanced Strategy'!G10</f>
        <v>15.04</v>
      </c>
      <c r="H10" s="17">
        <f>'Non-Rebalanced Strategy'!H10</f>
        <v>-2.2599999999999998</v>
      </c>
    </row>
    <row r="11" spans="1:25" x14ac:dyDescent="0.55000000000000004">
      <c r="A11" s="16">
        <f>'Non-Rebalanced Strategy'!A11</f>
        <v>2014</v>
      </c>
      <c r="B11" s="16">
        <f>'Non-Rebalanced Strategy'!B11</f>
        <v>13.51</v>
      </c>
      <c r="C11" s="16">
        <f>'Non-Rebalanced Strategy'!C11</f>
        <v>0</v>
      </c>
      <c r="D11" s="17">
        <f>'Non-Rebalanced Strategy'!D11</f>
        <v>13.6</v>
      </c>
      <c r="E11" s="17">
        <f>'Non-Rebalanced Strategy'!E11</f>
        <v>7.37</v>
      </c>
      <c r="F11" s="16">
        <f>'Non-Rebalanced Strategy'!F11</f>
        <v>0</v>
      </c>
      <c r="G11" s="17">
        <f>'Non-Rebalanced Strategy'!G11</f>
        <v>-4.24</v>
      </c>
      <c r="H11" s="17">
        <f>'Non-Rebalanced Strategy'!H11</f>
        <v>5.76</v>
      </c>
    </row>
    <row r="12" spans="1:25" x14ac:dyDescent="0.55000000000000004">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25" x14ac:dyDescent="0.55000000000000004">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6" spans="1:25" x14ac:dyDescent="0.55000000000000004">
      <c r="A16" s="18" t="s">
        <v>109</v>
      </c>
      <c r="O16" s="18" t="s">
        <v>110</v>
      </c>
      <c r="Y16" s="18" t="s">
        <v>91</v>
      </c>
    </row>
    <row r="17" spans="1:34" x14ac:dyDescent="0.55000000000000004">
      <c r="B17" s="4" t="str">
        <f t="shared" ref="B17:H18" si="0">B2</f>
        <v>LC Stocks</v>
      </c>
      <c r="C17" s="4" t="str">
        <f t="shared" si="0"/>
        <v>Ext Mkt</v>
      </c>
      <c r="D17" s="4" t="str">
        <f t="shared" si="0"/>
        <v>Mcap Stk</v>
      </c>
      <c r="E17" s="4" t="str">
        <f t="shared" si="0"/>
        <v>Small Cap</v>
      </c>
      <c r="F17" s="4" t="str">
        <f t="shared" si="0"/>
        <v>Intl Val</v>
      </c>
      <c r="G17" s="4" t="str">
        <f t="shared" si="0"/>
        <v>Tot Int Stk</v>
      </c>
      <c r="H17" s="4" t="str">
        <f t="shared" si="0"/>
        <v>Bonds</v>
      </c>
      <c r="I17" s="5"/>
      <c r="J17" s="5" t="s">
        <v>44</v>
      </c>
      <c r="K17" s="5" t="s">
        <v>41</v>
      </c>
      <c r="L17" s="5" t="s">
        <v>42</v>
      </c>
      <c r="P17" s="4" t="str">
        <f>B17</f>
        <v>LC Stocks</v>
      </c>
      <c r="Q17" s="4" t="str">
        <f t="shared" ref="Q17:V18" si="1">C17</f>
        <v>Ext Mkt</v>
      </c>
      <c r="R17" s="4" t="str">
        <f t="shared" si="1"/>
        <v>Mcap Stk</v>
      </c>
      <c r="S17" s="4" t="str">
        <f t="shared" si="1"/>
        <v>Small Cap</v>
      </c>
      <c r="T17" s="4" t="str">
        <f t="shared" si="1"/>
        <v>Intl Val</v>
      </c>
      <c r="U17" s="4" t="str">
        <f t="shared" si="1"/>
        <v>Tot Int Stk</v>
      </c>
      <c r="V17" s="4" t="str">
        <f t="shared" si="1"/>
        <v>Bonds</v>
      </c>
      <c r="W17" s="5"/>
      <c r="Z17" s="4" t="str">
        <f>P17</f>
        <v>LC Stocks</v>
      </c>
      <c r="AA17" s="4" t="str">
        <f t="shared" ref="AA17:AG18" si="2">Q17</f>
        <v>Ext Mkt</v>
      </c>
      <c r="AB17" s="4" t="str">
        <f t="shared" si="2"/>
        <v>Mcap Stk</v>
      </c>
      <c r="AC17" s="4" t="str">
        <f t="shared" si="2"/>
        <v>Small Cap</v>
      </c>
      <c r="AD17" s="4" t="str">
        <f t="shared" si="2"/>
        <v>Intl Val</v>
      </c>
      <c r="AE17" s="4" t="str">
        <f t="shared" si="2"/>
        <v>Tot Int Stk</v>
      </c>
      <c r="AF17" s="4" t="str">
        <f t="shared" si="2"/>
        <v>Bonds</v>
      </c>
      <c r="AG17" s="4"/>
      <c r="AH17" t="s">
        <v>56</v>
      </c>
    </row>
    <row r="18" spans="1:34" x14ac:dyDescent="0.55000000000000004">
      <c r="A18" t="s">
        <v>40</v>
      </c>
      <c r="B18" s="4" t="str">
        <f t="shared" si="0"/>
        <v>VFINX</v>
      </c>
      <c r="C18" s="4" t="str">
        <f t="shared" si="0"/>
        <v>VEXMX</v>
      </c>
      <c r="D18" s="4" t="str">
        <f t="shared" si="0"/>
        <v>VIMSX</v>
      </c>
      <c r="E18" s="4" t="str">
        <f t="shared" si="0"/>
        <v>NAESX</v>
      </c>
      <c r="F18" s="4" t="str">
        <f t="shared" si="0"/>
        <v>VTRIX</v>
      </c>
      <c r="G18" s="4" t="str">
        <f t="shared" si="0"/>
        <v>VGTSX</v>
      </c>
      <c r="H18" s="4" t="str">
        <f t="shared" si="0"/>
        <v>VBMFX</v>
      </c>
      <c r="I18" s="5" t="s">
        <v>38</v>
      </c>
      <c r="J18" s="5" t="s">
        <v>45</v>
      </c>
      <c r="K18" s="5" t="s">
        <v>43</v>
      </c>
      <c r="L18" s="5" t="s">
        <v>43</v>
      </c>
      <c r="O18" t="s">
        <v>40</v>
      </c>
      <c r="P18" s="4" t="str">
        <f>B18</f>
        <v>VFINX</v>
      </c>
      <c r="Q18" s="4" t="str">
        <f t="shared" si="1"/>
        <v>VEXMX</v>
      </c>
      <c r="R18" s="4" t="str">
        <f t="shared" si="1"/>
        <v>VIMSX</v>
      </c>
      <c r="S18" s="4" t="str">
        <f t="shared" si="1"/>
        <v>NAESX</v>
      </c>
      <c r="T18" s="4" t="str">
        <f t="shared" si="1"/>
        <v>VTRIX</v>
      </c>
      <c r="U18" s="4" t="str">
        <f t="shared" si="1"/>
        <v>VGTSX</v>
      </c>
      <c r="V18" s="4" t="str">
        <f t="shared" si="1"/>
        <v>VBMFX</v>
      </c>
      <c r="W18" s="5" t="s">
        <v>38</v>
      </c>
      <c r="Y18" t="str">
        <f>A18</f>
        <v>Fund</v>
      </c>
      <c r="Z18" s="4" t="str">
        <f>P18</f>
        <v>VFINX</v>
      </c>
      <c r="AA18" s="4" t="str">
        <f t="shared" si="2"/>
        <v>VEXMX</v>
      </c>
      <c r="AB18" s="4" t="str">
        <f t="shared" si="2"/>
        <v>VIMSX</v>
      </c>
      <c r="AC18" s="4" t="str">
        <f t="shared" si="2"/>
        <v>NAESX</v>
      </c>
      <c r="AD18" s="4" t="str">
        <f t="shared" si="2"/>
        <v>VTRIX</v>
      </c>
      <c r="AE18" s="4" t="str">
        <f t="shared" si="2"/>
        <v>VGTSX</v>
      </c>
      <c r="AF18" s="4" t="str">
        <f t="shared" si="2"/>
        <v>VBMFX</v>
      </c>
      <c r="AG18" s="4" t="str">
        <f t="shared" si="2"/>
        <v>Total</v>
      </c>
      <c r="AH18" t="s">
        <v>55</v>
      </c>
    </row>
    <row r="19" spans="1:34" x14ac:dyDescent="0.55000000000000004">
      <c r="A19" t="s">
        <v>39</v>
      </c>
      <c r="B19" s="2">
        <f>'Non-Rebalanced Strategy'!B19</f>
        <v>20000</v>
      </c>
      <c r="C19" s="2"/>
      <c r="D19" s="2">
        <f>'Non-Rebalanced Strategy'!D19</f>
        <v>20000</v>
      </c>
      <c r="E19" s="2">
        <f>'Non-Rebalanced Strategy'!E19</f>
        <v>10000</v>
      </c>
      <c r="F19" s="2"/>
      <c r="G19" s="2">
        <f>'Non-Rebalanced Strategy'!G19</f>
        <v>20000</v>
      </c>
      <c r="H19" s="2">
        <f>'Non-Rebalanced Strategy'!H19</f>
        <v>30000</v>
      </c>
      <c r="I19" s="2">
        <f>SUM(B19:H19)</f>
        <v>100000</v>
      </c>
      <c r="O19" s="19" t="s">
        <v>54</v>
      </c>
      <c r="P19" s="20">
        <f>B19/$I19</f>
        <v>0.2</v>
      </c>
      <c r="Q19" s="20"/>
      <c r="R19" s="20">
        <f>D19/$I19</f>
        <v>0.2</v>
      </c>
      <c r="S19" s="20">
        <f>E19/$I19</f>
        <v>0.1</v>
      </c>
      <c r="T19" s="20"/>
      <c r="U19" s="20">
        <f>G19/$I19</f>
        <v>0.2</v>
      </c>
      <c r="V19" s="20">
        <f>H19/$I19</f>
        <v>0.3</v>
      </c>
      <c r="W19" s="20">
        <f>I19/$I19</f>
        <v>1</v>
      </c>
      <c r="X19" s="22"/>
      <c r="Y19" t="str">
        <f>A19</f>
        <v>Stating Balance</v>
      </c>
      <c r="Z19" s="2">
        <f>B19</f>
        <v>20000</v>
      </c>
      <c r="AA19" s="2"/>
      <c r="AB19" s="2">
        <f t="shared" ref="AB19:AF19" si="3">D19</f>
        <v>20000</v>
      </c>
      <c r="AC19" s="2">
        <f t="shared" si="3"/>
        <v>10000</v>
      </c>
      <c r="AD19" s="2"/>
      <c r="AE19" s="2">
        <f t="shared" si="3"/>
        <v>20000</v>
      </c>
      <c r="AF19" s="2">
        <f t="shared" si="3"/>
        <v>30000</v>
      </c>
      <c r="AG19" s="2">
        <f>SUM(Z19:AF19)</f>
        <v>100000</v>
      </c>
      <c r="AH19" s="2">
        <f>AG19-I19</f>
        <v>0</v>
      </c>
    </row>
    <row r="20" spans="1:34" x14ac:dyDescent="0.55000000000000004">
      <c r="A20">
        <f t="shared" ref="A20:A27" si="4">A4</f>
        <v>2007</v>
      </c>
      <c r="B20" s="2">
        <f>B$19*(1+(B4/100))</f>
        <v>21078</v>
      </c>
      <c r="C20" s="2"/>
      <c r="D20" s="2">
        <f>D$19*(1+(D4/100))</f>
        <v>21204.2</v>
      </c>
      <c r="E20" s="2">
        <f>E$19*(1+(E4/100))</f>
        <v>10115.6</v>
      </c>
      <c r="F20" s="2"/>
      <c r="G20" s="2">
        <f>G$19*(1+(G4/100))</f>
        <v>23104.399999999998</v>
      </c>
      <c r="H20" s="2">
        <f>H$19*(1+(H4/100))</f>
        <v>32075.999999999996</v>
      </c>
      <c r="I20" s="2">
        <f t="shared" ref="I20:I24" si="5">SUM(B20:H20)</f>
        <v>107578.2</v>
      </c>
      <c r="J20" s="2">
        <f t="shared" ref="J20" si="6">I20-I19</f>
        <v>7578.1999999999971</v>
      </c>
      <c r="K20" s="6">
        <f t="shared" ref="K20" si="7">(J20/I19)</f>
        <v>7.5781999999999974E-2</v>
      </c>
      <c r="L20" s="7">
        <f t="shared" ref="L20" si="8">K20+1</f>
        <v>1.075782</v>
      </c>
      <c r="O20">
        <f t="shared" ref="O20:O23" si="9">A20</f>
        <v>2007</v>
      </c>
      <c r="P20" s="6">
        <f t="shared" ref="P20:U23" si="10">B20/$I20</f>
        <v>0.19593188954639509</v>
      </c>
      <c r="Q20" s="6"/>
      <c r="R20" s="6">
        <f t="shared" ref="R20:R23" si="11">D20/$I20</f>
        <v>0.19710498967262885</v>
      </c>
      <c r="S20" s="6">
        <f t="shared" ref="S20:S23" si="12">E20/$I20</f>
        <v>9.4030203145246904E-2</v>
      </c>
      <c r="T20" s="6"/>
      <c r="U20" s="6">
        <f t="shared" si="10"/>
        <v>0.21476841962405022</v>
      </c>
      <c r="V20" s="6">
        <f t="shared" ref="V20:V23" si="13">H20/$I20</f>
        <v>0.29816449801167894</v>
      </c>
      <c r="W20" s="20">
        <f>SUM(P20:V20)</f>
        <v>1</v>
      </c>
      <c r="X20" s="22"/>
      <c r="Y20">
        <f t="shared" ref="Y20:Y23" si="14">O20</f>
        <v>2007</v>
      </c>
      <c r="Z20" s="2">
        <f t="shared" ref="Z20" si="15">B20</f>
        <v>21078</v>
      </c>
      <c r="AA20" s="2"/>
      <c r="AB20" s="2">
        <f t="shared" ref="AB20" si="16">D20</f>
        <v>21204.2</v>
      </c>
      <c r="AC20" s="2">
        <f t="shared" ref="AC20" si="17">E20</f>
        <v>10115.6</v>
      </c>
      <c r="AD20" s="2"/>
      <c r="AE20" s="2">
        <f t="shared" ref="AE20" si="18">G20</f>
        <v>23104.399999999998</v>
      </c>
      <c r="AF20" s="2">
        <f t="shared" ref="AF20" si="19">H20</f>
        <v>32075.999999999996</v>
      </c>
      <c r="AG20" s="2">
        <f t="shared" ref="AG20:AG23" si="20">SUM(Z20:AF20)</f>
        <v>107578.2</v>
      </c>
      <c r="AH20" s="2">
        <f t="shared" ref="AH20:AH23" si="21">AG20-I20</f>
        <v>0</v>
      </c>
    </row>
    <row r="21" spans="1:34" x14ac:dyDescent="0.55000000000000004">
      <c r="A21">
        <f t="shared" si="4"/>
        <v>2008</v>
      </c>
      <c r="B21" s="2">
        <f t="shared" ref="B21:B27" si="22">Z20*(1+(B5/100))</f>
        <v>13274.924399999998</v>
      </c>
      <c r="C21" s="2"/>
      <c r="D21" s="2">
        <f t="shared" ref="D21:E27" si="23">AB20*(1+(D5/100))</f>
        <v>12335.755392000001</v>
      </c>
      <c r="E21" s="2">
        <f t="shared" si="23"/>
        <v>6466.90308</v>
      </c>
      <c r="F21" s="2"/>
      <c r="G21" s="2">
        <f t="shared" ref="G21:H27" si="24">AE20*(1+(G5/100))</f>
        <v>12915.128555999998</v>
      </c>
      <c r="H21" s="2">
        <f t="shared" si="24"/>
        <v>33695.837999999996</v>
      </c>
      <c r="I21" s="2">
        <f t="shared" si="5"/>
        <v>78688.549427999998</v>
      </c>
      <c r="J21" s="2">
        <f t="shared" ref="J21:J24" si="25">I21-I20</f>
        <v>-28889.650571999999</v>
      </c>
      <c r="K21" s="6">
        <f t="shared" ref="K21:K24" si="26">(J21/I20)</f>
        <v>-0.26854558425405889</v>
      </c>
      <c r="L21" s="7">
        <f t="shared" ref="L21:L24" si="27">K21+1</f>
        <v>0.73145441574594106</v>
      </c>
      <c r="O21">
        <f t="shared" si="9"/>
        <v>2008</v>
      </c>
      <c r="P21" s="6">
        <f t="shared" si="10"/>
        <v>0.16870211099960039</v>
      </c>
      <c r="Q21" s="6"/>
      <c r="R21" s="6">
        <f t="shared" si="11"/>
        <v>0.15676684195693827</v>
      </c>
      <c r="S21" s="6">
        <f t="shared" si="12"/>
        <v>8.2183534033972938E-2</v>
      </c>
      <c r="T21" s="6"/>
      <c r="U21" s="6">
        <f t="shared" si="10"/>
        <v>0.1641297069253683</v>
      </c>
      <c r="V21" s="6">
        <f t="shared" si="13"/>
        <v>0.42821780608412002</v>
      </c>
      <c r="W21" s="20">
        <f t="shared" ref="W21:W23" si="28">SUM(P21:V21)</f>
        <v>1</v>
      </c>
      <c r="X21" s="22"/>
      <c r="Y21">
        <f t="shared" si="14"/>
        <v>2008</v>
      </c>
      <c r="Z21" s="36">
        <v>0</v>
      </c>
      <c r="AA21" s="36"/>
      <c r="AB21" s="36">
        <v>0</v>
      </c>
      <c r="AC21" s="36">
        <v>0</v>
      </c>
      <c r="AD21" s="36"/>
      <c r="AE21" s="36">
        <v>0</v>
      </c>
      <c r="AF21" s="36">
        <f>I21</f>
        <v>78688.549427999998</v>
      </c>
      <c r="AG21" s="2">
        <f t="shared" si="20"/>
        <v>78688.549427999998</v>
      </c>
      <c r="AH21" s="2">
        <f t="shared" si="21"/>
        <v>0</v>
      </c>
    </row>
    <row r="22" spans="1:34" x14ac:dyDescent="0.55000000000000004">
      <c r="A22">
        <f t="shared" si="4"/>
        <v>2009</v>
      </c>
      <c r="B22" s="2">
        <f t="shared" si="22"/>
        <v>0</v>
      </c>
      <c r="C22" s="2"/>
      <c r="D22" s="2">
        <f t="shared" si="23"/>
        <v>0</v>
      </c>
      <c r="E22" s="2">
        <f t="shared" si="23"/>
        <v>0</v>
      </c>
      <c r="F22" s="2"/>
      <c r="G22" s="2">
        <f t="shared" si="24"/>
        <v>0</v>
      </c>
      <c r="H22" s="2">
        <f t="shared" si="24"/>
        <v>83354.780409080398</v>
      </c>
      <c r="I22" s="2">
        <f t="shared" si="5"/>
        <v>83354.780409080398</v>
      </c>
      <c r="J22" s="2">
        <f t="shared" si="25"/>
        <v>4666.2309810803999</v>
      </c>
      <c r="K22" s="6">
        <f t="shared" si="26"/>
        <v>5.9299999999999999E-2</v>
      </c>
      <c r="L22" s="7">
        <f t="shared" si="27"/>
        <v>1.0592999999999999</v>
      </c>
      <c r="O22">
        <f t="shared" si="9"/>
        <v>2009</v>
      </c>
      <c r="P22" s="6">
        <f t="shared" si="10"/>
        <v>0</v>
      </c>
      <c r="Q22" s="6"/>
      <c r="R22" s="6">
        <f t="shared" si="11"/>
        <v>0</v>
      </c>
      <c r="S22" s="6">
        <f t="shared" si="12"/>
        <v>0</v>
      </c>
      <c r="T22" s="6"/>
      <c r="U22" s="6">
        <f t="shared" si="10"/>
        <v>0</v>
      </c>
      <c r="V22" s="6">
        <f t="shared" si="13"/>
        <v>1</v>
      </c>
      <c r="W22" s="20">
        <f t="shared" si="28"/>
        <v>1</v>
      </c>
      <c r="X22" s="22"/>
      <c r="Y22">
        <f t="shared" si="14"/>
        <v>2009</v>
      </c>
      <c r="Z22" s="36">
        <f>$I22*P$19</f>
        <v>16670.956081816079</v>
      </c>
      <c r="AA22" s="36"/>
      <c r="AB22" s="36">
        <f>$I22*R$19</f>
        <v>16670.956081816079</v>
      </c>
      <c r="AC22" s="36">
        <f>$I22*S$19</f>
        <v>8335.4780409080395</v>
      </c>
      <c r="AD22" s="36"/>
      <c r="AE22" s="36">
        <f>$I22*U$19</f>
        <v>16670.956081816079</v>
      </c>
      <c r="AF22" s="36">
        <f>$I22*V$19</f>
        <v>25006.43412272412</v>
      </c>
      <c r="AG22" s="2">
        <f t="shared" si="20"/>
        <v>83354.780409080398</v>
      </c>
      <c r="AH22" s="2">
        <f t="shared" si="21"/>
        <v>0</v>
      </c>
    </row>
    <row r="23" spans="1:34" x14ac:dyDescent="0.55000000000000004">
      <c r="A23">
        <f t="shared" si="4"/>
        <v>2010</v>
      </c>
      <c r="B23" s="2">
        <f t="shared" si="22"/>
        <v>19156.595633614856</v>
      </c>
      <c r="C23" s="2"/>
      <c r="D23" s="2">
        <f t="shared" si="23"/>
        <v>20915.381500246451</v>
      </c>
      <c r="E23" s="2">
        <f t="shared" si="23"/>
        <v>10646.072553847749</v>
      </c>
      <c r="F23" s="2"/>
      <c r="G23" s="2">
        <f t="shared" si="24"/>
        <v>18524.766398114025</v>
      </c>
      <c r="H23" s="2">
        <f t="shared" si="24"/>
        <v>26611.847193403009</v>
      </c>
      <c r="I23" s="2">
        <f t="shared" si="5"/>
        <v>95854.663279226093</v>
      </c>
      <c r="J23" s="2">
        <f t="shared" si="25"/>
        <v>12499.882870145695</v>
      </c>
      <c r="K23" s="6">
        <f t="shared" si="26"/>
        <v>0.14995999999999998</v>
      </c>
      <c r="L23" s="7">
        <f t="shared" si="27"/>
        <v>1.1499600000000001</v>
      </c>
      <c r="O23">
        <f t="shared" si="9"/>
        <v>2010</v>
      </c>
      <c r="P23" s="6">
        <f t="shared" si="10"/>
        <v>0.19985042958015931</v>
      </c>
      <c r="Q23" s="6"/>
      <c r="R23" s="6">
        <f t="shared" si="11"/>
        <v>0.21819889387456953</v>
      </c>
      <c r="S23" s="6">
        <f t="shared" si="12"/>
        <v>0.11106473268635432</v>
      </c>
      <c r="T23" s="6"/>
      <c r="U23" s="6">
        <f t="shared" si="10"/>
        <v>0.19325889596159865</v>
      </c>
      <c r="V23" s="6">
        <f t="shared" si="13"/>
        <v>0.27762704789731818</v>
      </c>
      <c r="W23" s="20">
        <f t="shared" si="28"/>
        <v>1</v>
      </c>
      <c r="X23" s="22"/>
      <c r="Y23">
        <f t="shared" si="14"/>
        <v>2010</v>
      </c>
      <c r="Z23" s="2">
        <f t="shared" ref="Z23" si="29">B23</f>
        <v>19156.595633614856</v>
      </c>
      <c r="AA23" s="2"/>
      <c r="AB23" s="2">
        <f t="shared" ref="AB23" si="30">D23</f>
        <v>20915.381500246451</v>
      </c>
      <c r="AC23" s="2">
        <f t="shared" ref="AC23" si="31">E23</f>
        <v>10646.072553847749</v>
      </c>
      <c r="AD23" s="2"/>
      <c r="AE23" s="2">
        <f t="shared" ref="AE23" si="32">G23</f>
        <v>18524.766398114025</v>
      </c>
      <c r="AF23" s="2">
        <f t="shared" ref="AF23" si="33">H23</f>
        <v>26611.847193403009</v>
      </c>
      <c r="AG23" s="2">
        <f t="shared" si="20"/>
        <v>95854.663279226093</v>
      </c>
      <c r="AH23" s="2">
        <f t="shared" si="21"/>
        <v>0</v>
      </c>
    </row>
    <row r="24" spans="1:34" x14ac:dyDescent="0.55000000000000004">
      <c r="A24">
        <f t="shared" si="4"/>
        <v>2011</v>
      </c>
      <c r="B24" s="2">
        <f t="shared" si="22"/>
        <v>19533.980567597071</v>
      </c>
      <c r="C24" s="2"/>
      <c r="D24" s="2">
        <f t="shared" si="23"/>
        <v>20474.066950591252</v>
      </c>
      <c r="E24" s="2">
        <f t="shared" si="23"/>
        <v>10347.982522340011</v>
      </c>
      <c r="F24" s="2"/>
      <c r="G24" s="2">
        <f t="shared" si="24"/>
        <v>15827.560410548624</v>
      </c>
      <c r="H24" s="2">
        <f t="shared" si="24"/>
        <v>28623.70284122428</v>
      </c>
      <c r="I24" s="2">
        <f t="shared" si="5"/>
        <v>94807.293292301241</v>
      </c>
      <c r="J24" s="2">
        <f t="shared" si="25"/>
        <v>-1047.3699869248521</v>
      </c>
      <c r="K24" s="6">
        <f t="shared" si="26"/>
        <v>-1.0926646144213636E-2</v>
      </c>
      <c r="L24" s="7">
        <f t="shared" si="27"/>
        <v>0.98907335385578632</v>
      </c>
      <c r="O24">
        <f t="shared" ref="O24:O27" si="34">A24</f>
        <v>2011</v>
      </c>
      <c r="P24" s="6">
        <f t="shared" ref="P24:P27" si="35">B24/$I24</f>
        <v>0.20603879605940942</v>
      </c>
      <c r="Q24" s="6"/>
      <c r="R24" s="6">
        <f t="shared" ref="R24:R27" si="36">D24/$I24</f>
        <v>0.21595455623300486</v>
      </c>
      <c r="S24" s="6">
        <f t="shared" ref="S24:S27" si="37">E24/$I24</f>
        <v>0.10914753668197288</v>
      </c>
      <c r="T24" s="6"/>
      <c r="U24" s="6">
        <f t="shared" ref="U24:U27" si="38">G24/$I24</f>
        <v>0.16694454467496003</v>
      </c>
      <c r="V24" s="6">
        <f t="shared" ref="V24:V27" si="39">H24/$I24</f>
        <v>0.30191456635065278</v>
      </c>
      <c r="W24" s="20">
        <f t="shared" ref="W24:W27" si="40">SUM(P24:V24)</f>
        <v>1</v>
      </c>
      <c r="X24" s="22"/>
      <c r="Y24">
        <f t="shared" ref="Y24:Y27" si="41">O24</f>
        <v>2011</v>
      </c>
      <c r="Z24" s="2">
        <f t="shared" ref="Z24:Z27" si="42">B24</f>
        <v>19533.980567597071</v>
      </c>
      <c r="AA24" s="2"/>
      <c r="AB24" s="2">
        <f t="shared" ref="AB24:AB27" si="43">D24</f>
        <v>20474.066950591252</v>
      </c>
      <c r="AC24" s="2">
        <f t="shared" ref="AC24:AC27" si="44">E24</f>
        <v>10347.982522340011</v>
      </c>
      <c r="AD24" s="2"/>
      <c r="AE24" s="2">
        <f t="shared" ref="AE24:AE27" si="45">G24</f>
        <v>15827.560410548624</v>
      </c>
      <c r="AF24" s="2">
        <f t="shared" ref="AF24:AF27" si="46">H24</f>
        <v>28623.70284122428</v>
      </c>
      <c r="AG24" s="2">
        <f t="shared" ref="AG24:AG27" si="47">SUM(Z24:AF24)</f>
        <v>94807.293292301241</v>
      </c>
      <c r="AH24" s="2">
        <f t="shared" ref="AH24:AH27" si="48">AG24-I24</f>
        <v>0</v>
      </c>
    </row>
    <row r="25" spans="1:34" x14ac:dyDescent="0.55000000000000004">
      <c r="A25">
        <f t="shared" si="4"/>
        <v>2012</v>
      </c>
      <c r="B25" s="2">
        <f t="shared" si="22"/>
        <v>22624.256293390925</v>
      </c>
      <c r="C25" s="2"/>
      <c r="D25" s="2">
        <f t="shared" si="23"/>
        <v>23708.96952878467</v>
      </c>
      <c r="E25" s="2">
        <f t="shared" si="23"/>
        <v>12214.758569370151</v>
      </c>
      <c r="F25" s="2"/>
      <c r="G25" s="2">
        <f t="shared" si="24"/>
        <v>18698.679869022144</v>
      </c>
      <c r="H25" s="2">
        <f t="shared" si="24"/>
        <v>29782.962806293861</v>
      </c>
      <c r="I25" s="2">
        <f t="shared" ref="I25:I27" si="49">SUM(B25:H25)</f>
        <v>107029.62706686175</v>
      </c>
      <c r="J25" s="2">
        <f t="shared" ref="J25:J27" si="50">I25-I24</f>
        <v>12222.333774560509</v>
      </c>
      <c r="K25" s="6">
        <f t="shared" ref="K25:K27" si="51">(J25/I24)</f>
        <v>0.12891765338008038</v>
      </c>
      <c r="L25" s="7">
        <f t="shared" ref="L25:L27" si="52">K25+1</f>
        <v>1.1289176533800804</v>
      </c>
      <c r="O25">
        <f t="shared" si="34"/>
        <v>2012</v>
      </c>
      <c r="P25" s="6">
        <f t="shared" si="35"/>
        <v>0.21138311805251345</v>
      </c>
      <c r="Q25" s="6"/>
      <c r="R25" s="6">
        <f t="shared" si="36"/>
        <v>0.22151781874352977</v>
      </c>
      <c r="S25" s="6">
        <f t="shared" si="37"/>
        <v>0.11412502224023964</v>
      </c>
      <c r="T25" s="6"/>
      <c r="U25" s="6">
        <f t="shared" si="38"/>
        <v>0.17470564348823731</v>
      </c>
      <c r="V25" s="6">
        <f t="shared" si="39"/>
        <v>0.27826839747547982</v>
      </c>
      <c r="W25" s="20">
        <f t="shared" si="40"/>
        <v>1</v>
      </c>
      <c r="X25" s="22"/>
      <c r="Y25">
        <f t="shared" si="41"/>
        <v>2012</v>
      </c>
      <c r="Z25" s="2">
        <f t="shared" si="42"/>
        <v>22624.256293390925</v>
      </c>
      <c r="AA25" s="2"/>
      <c r="AB25" s="2">
        <f t="shared" si="43"/>
        <v>23708.96952878467</v>
      </c>
      <c r="AC25" s="2">
        <f t="shared" si="44"/>
        <v>12214.758569370151</v>
      </c>
      <c r="AD25" s="2"/>
      <c r="AE25" s="2">
        <f t="shared" si="45"/>
        <v>18698.679869022144</v>
      </c>
      <c r="AF25" s="2">
        <f t="shared" si="46"/>
        <v>29782.962806293861</v>
      </c>
      <c r="AG25" s="2">
        <f t="shared" si="47"/>
        <v>107029.62706686175</v>
      </c>
      <c r="AH25" s="2">
        <f t="shared" si="48"/>
        <v>0</v>
      </c>
    </row>
    <row r="26" spans="1:34" x14ac:dyDescent="0.55000000000000004">
      <c r="A26">
        <f t="shared" si="4"/>
        <v>2013</v>
      </c>
      <c r="B26" s="2">
        <f t="shared" si="22"/>
        <v>29904.741968604125</v>
      </c>
      <c r="C26" s="2"/>
      <c r="D26" s="2">
        <f t="shared" si="23"/>
        <v>32007.108863859306</v>
      </c>
      <c r="E26" s="2">
        <f t="shared" si="23"/>
        <v>16809.950743167199</v>
      </c>
      <c r="F26" s="2"/>
      <c r="G26" s="2">
        <f t="shared" si="24"/>
        <v>21510.961321323073</v>
      </c>
      <c r="H26" s="2">
        <f t="shared" si="24"/>
        <v>29109.867846871621</v>
      </c>
      <c r="I26" s="2">
        <f t="shared" si="49"/>
        <v>129342.63074382533</v>
      </c>
      <c r="J26" s="2">
        <f t="shared" si="50"/>
        <v>22313.003676963577</v>
      </c>
      <c r="K26" s="6">
        <f t="shared" si="51"/>
        <v>0.20847502031399748</v>
      </c>
      <c r="L26" s="7">
        <f t="shared" si="52"/>
        <v>1.2084750203139976</v>
      </c>
      <c r="O26">
        <f t="shared" si="34"/>
        <v>2013</v>
      </c>
      <c r="P26" s="6">
        <f t="shared" si="35"/>
        <v>0.23120561099327835</v>
      </c>
      <c r="Q26" s="6"/>
      <c r="R26" s="6">
        <f t="shared" si="36"/>
        <v>0.24745985665972925</v>
      </c>
      <c r="S26" s="6">
        <f t="shared" si="37"/>
        <v>0.12996450316880298</v>
      </c>
      <c r="T26" s="6"/>
      <c r="U26" s="6">
        <f t="shared" si="38"/>
        <v>0.1663099103336429</v>
      </c>
      <c r="V26" s="6">
        <f t="shared" si="39"/>
        <v>0.22506011884454649</v>
      </c>
      <c r="W26" s="20">
        <f t="shared" si="40"/>
        <v>1</v>
      </c>
      <c r="X26" s="22"/>
      <c r="Y26">
        <f t="shared" si="41"/>
        <v>2013</v>
      </c>
      <c r="Z26" s="2">
        <f t="shared" si="42"/>
        <v>29904.741968604125</v>
      </c>
      <c r="AA26" s="2"/>
      <c r="AB26" s="2">
        <f t="shared" si="43"/>
        <v>32007.108863859306</v>
      </c>
      <c r="AC26" s="2">
        <f t="shared" si="44"/>
        <v>16809.950743167199</v>
      </c>
      <c r="AD26" s="2"/>
      <c r="AE26" s="2">
        <f t="shared" si="45"/>
        <v>21510.961321323073</v>
      </c>
      <c r="AF26" s="2">
        <f t="shared" si="46"/>
        <v>29109.867846871621</v>
      </c>
      <c r="AG26" s="2">
        <f t="shared" si="47"/>
        <v>129342.63074382533</v>
      </c>
      <c r="AH26" s="2">
        <f t="shared" si="48"/>
        <v>0</v>
      </c>
    </row>
    <row r="27" spans="1:34" x14ac:dyDescent="0.55000000000000004">
      <c r="A27">
        <f t="shared" si="4"/>
        <v>2014</v>
      </c>
      <c r="B27" s="2">
        <f t="shared" si="22"/>
        <v>33944.872608562539</v>
      </c>
      <c r="C27" s="2"/>
      <c r="D27" s="2">
        <f t="shared" si="23"/>
        <v>36360.075669344173</v>
      </c>
      <c r="E27" s="2">
        <f t="shared" si="23"/>
        <v>18048.844112938623</v>
      </c>
      <c r="F27" s="2"/>
      <c r="G27" s="2">
        <f t="shared" si="24"/>
        <v>20598.896561298974</v>
      </c>
      <c r="H27" s="2">
        <f t="shared" si="24"/>
        <v>30786.596234851429</v>
      </c>
      <c r="I27" s="2">
        <f t="shared" si="49"/>
        <v>139739.28518699575</v>
      </c>
      <c r="J27" s="2">
        <f t="shared" si="50"/>
        <v>10396.654443170424</v>
      </c>
      <c r="K27" s="6">
        <f t="shared" si="51"/>
        <v>8.0380725081755366E-2</v>
      </c>
      <c r="L27" s="7">
        <f t="shared" si="52"/>
        <v>1.0803807250817554</v>
      </c>
      <c r="O27">
        <f t="shared" si="34"/>
        <v>2014</v>
      </c>
      <c r="P27" s="6">
        <f t="shared" si="35"/>
        <v>0.24291574529766863</v>
      </c>
      <c r="Q27" s="6"/>
      <c r="R27" s="6">
        <f t="shared" si="36"/>
        <v>0.2601993821614873</v>
      </c>
      <c r="S27" s="6">
        <f t="shared" si="37"/>
        <v>0.12916084470294872</v>
      </c>
      <c r="T27" s="6"/>
      <c r="U27" s="6">
        <f t="shared" si="38"/>
        <v>0.14740948856103012</v>
      </c>
      <c r="V27" s="6">
        <f t="shared" si="39"/>
        <v>0.22031453927686509</v>
      </c>
      <c r="W27" s="20">
        <f t="shared" si="40"/>
        <v>0.99999999999999978</v>
      </c>
      <c r="X27" s="22"/>
      <c r="Y27">
        <f t="shared" si="41"/>
        <v>2014</v>
      </c>
      <c r="Z27" s="2">
        <f t="shared" si="42"/>
        <v>33944.872608562539</v>
      </c>
      <c r="AA27" s="2"/>
      <c r="AB27" s="2">
        <f t="shared" si="43"/>
        <v>36360.075669344173</v>
      </c>
      <c r="AC27" s="2">
        <f t="shared" si="44"/>
        <v>18048.844112938623</v>
      </c>
      <c r="AD27" s="2"/>
      <c r="AE27" s="2">
        <f t="shared" si="45"/>
        <v>20598.896561298974</v>
      </c>
      <c r="AF27" s="2">
        <f t="shared" si="46"/>
        <v>30786.596234851429</v>
      </c>
      <c r="AG27" s="2">
        <f t="shared" si="47"/>
        <v>139739.28518699575</v>
      </c>
      <c r="AH27" s="2">
        <f t="shared" si="48"/>
        <v>0</v>
      </c>
    </row>
    <row r="28" spans="1:34" x14ac:dyDescent="0.55000000000000004">
      <c r="A28">
        <f t="shared" ref="A28:A29" si="53">A12</f>
        <v>2015</v>
      </c>
      <c r="B28" s="2">
        <f t="shared" ref="B28:B29" si="54">Z27*(1+(B12/100))</f>
        <v>34369.183516169571</v>
      </c>
      <c r="C28" s="2"/>
      <c r="D28" s="2">
        <f t="shared" ref="D28:E28" si="55">AB27*(1+(D12/100))</f>
        <v>35829.218564571747</v>
      </c>
      <c r="E28" s="2">
        <f t="shared" si="55"/>
        <v>17366.597805469541</v>
      </c>
      <c r="F28" s="2"/>
      <c r="G28" s="2">
        <f t="shared" ref="G28:H28" si="56">AE27*(1+(G12/100))</f>
        <v>19698.72478157021</v>
      </c>
      <c r="H28" s="2">
        <f t="shared" si="56"/>
        <v>30878.95602355598</v>
      </c>
      <c r="I28" s="2">
        <f t="shared" ref="I28:I29" si="57">SUM(B28:H28)</f>
        <v>138142.68069133707</v>
      </c>
      <c r="J28" s="2">
        <f t="shared" ref="J28:J29" si="58">I28-I27</f>
        <v>-1596.6044956586848</v>
      </c>
      <c r="K28" s="6">
        <f t="shared" ref="K28:K29" si="59">(J28/I27)</f>
        <v>-1.1425595125394745E-2</v>
      </c>
      <c r="L28" s="7">
        <f t="shared" ref="L28:L29" si="60">K28+1</f>
        <v>0.98857440487460524</v>
      </c>
      <c r="O28">
        <f t="shared" ref="O28:O29" si="61">A28</f>
        <v>2015</v>
      </c>
      <c r="P28" s="6">
        <f t="shared" ref="P28:P29" si="62">B28/$I28</f>
        <v>0.24879482100802219</v>
      </c>
      <c r="Q28" s="6"/>
      <c r="R28" s="6">
        <f t="shared" ref="R28:R29" si="63">D28/$I28</f>
        <v>0.25936385760913211</v>
      </c>
      <c r="S28" s="6">
        <f t="shared" ref="S28:S29" si="64">E28/$I28</f>
        <v>0.12571493269537082</v>
      </c>
      <c r="T28" s="6"/>
      <c r="U28" s="6">
        <f t="shared" ref="U28:U29" si="65">G28/$I28</f>
        <v>0.14259694891533634</v>
      </c>
      <c r="V28" s="6">
        <f t="shared" ref="V28:V29" si="66">H28/$I28</f>
        <v>0.22352943977213843</v>
      </c>
      <c r="W28" s="20">
        <f t="shared" ref="W28:W29" si="67">SUM(P28:V28)</f>
        <v>1</v>
      </c>
      <c r="X28" s="22"/>
      <c r="Y28">
        <f t="shared" ref="Y28:Y29" si="68">O28</f>
        <v>2015</v>
      </c>
      <c r="Z28" s="2">
        <f t="shared" ref="Z28:Z29" si="69">B28</f>
        <v>34369.183516169571</v>
      </c>
      <c r="AA28" s="2"/>
      <c r="AB28" s="2">
        <f t="shared" ref="AB28:AB29" si="70">D28</f>
        <v>35829.218564571747</v>
      </c>
      <c r="AC28" s="2">
        <f t="shared" ref="AC28:AC29" si="71">E28</f>
        <v>17366.597805469541</v>
      </c>
      <c r="AD28" s="2"/>
      <c r="AE28" s="2">
        <f t="shared" ref="AE28:AE29" si="72">G28</f>
        <v>19698.72478157021</v>
      </c>
      <c r="AF28" s="2">
        <f t="shared" ref="AF28:AF29" si="73">H28</f>
        <v>30878.95602355598</v>
      </c>
      <c r="AG28" s="2">
        <f t="shared" ref="AG28:AG29" si="74">SUM(Z28:AF28)</f>
        <v>138142.68069133707</v>
      </c>
      <c r="AH28" s="2">
        <f t="shared" ref="AH28:AH29" si="75">AG28-I28</f>
        <v>0</v>
      </c>
    </row>
    <row r="29" spans="1:34" x14ac:dyDescent="0.55000000000000004">
      <c r="A29">
        <f t="shared" si="53"/>
        <v>2016</v>
      </c>
      <c r="B29" s="2">
        <f t="shared" si="54"/>
        <v>38431.621007780814</v>
      </c>
      <c r="C29" s="2"/>
      <c r="D29" s="2">
        <f t="shared" ref="D29:E29" si="76">AB28*(1+(D13/100))</f>
        <v>39795.513059669844</v>
      </c>
      <c r="E29" s="2">
        <f t="shared" si="76"/>
        <v>20522.108626723355</v>
      </c>
      <c r="F29" s="2"/>
      <c r="G29" s="2">
        <f t="shared" ref="G29:H29" si="77">AE28*(1+(G13/100))</f>
        <v>20614.715483913224</v>
      </c>
      <c r="H29" s="2">
        <f t="shared" si="77"/>
        <v>31650.929924144875</v>
      </c>
      <c r="I29" s="2">
        <f t="shared" si="57"/>
        <v>151014.8881022321</v>
      </c>
      <c r="J29" s="2">
        <f t="shared" si="58"/>
        <v>12872.207410895033</v>
      </c>
      <c r="K29" s="6">
        <f t="shared" si="59"/>
        <v>9.3180524270094392E-2</v>
      </c>
      <c r="L29" s="7">
        <f t="shared" si="60"/>
        <v>1.0931805242700945</v>
      </c>
      <c r="O29">
        <f t="shared" si="61"/>
        <v>2016</v>
      </c>
      <c r="P29" s="6">
        <f t="shared" si="62"/>
        <v>0.254488954637134</v>
      </c>
      <c r="Q29" s="6"/>
      <c r="R29" s="6">
        <f t="shared" si="63"/>
        <v>0.26352046185492384</v>
      </c>
      <c r="S29" s="6">
        <f t="shared" si="64"/>
        <v>0.13589460539036763</v>
      </c>
      <c r="T29" s="6"/>
      <c r="U29" s="6">
        <f t="shared" si="65"/>
        <v>0.13650783537287886</v>
      </c>
      <c r="V29" s="6">
        <f t="shared" si="66"/>
        <v>0.20958814274469573</v>
      </c>
      <c r="W29" s="20">
        <f t="shared" si="67"/>
        <v>1</v>
      </c>
      <c r="X29" s="22"/>
      <c r="Y29">
        <f t="shared" si="68"/>
        <v>2016</v>
      </c>
      <c r="Z29" s="2">
        <f t="shared" si="69"/>
        <v>38431.621007780814</v>
      </c>
      <c r="AA29" s="2"/>
      <c r="AB29" s="2">
        <f t="shared" si="70"/>
        <v>39795.513059669844</v>
      </c>
      <c r="AC29" s="2">
        <f t="shared" si="71"/>
        <v>20522.108626723355</v>
      </c>
      <c r="AD29" s="2"/>
      <c r="AE29" s="2">
        <f t="shared" si="72"/>
        <v>20614.715483913224</v>
      </c>
      <c r="AF29" s="2">
        <f t="shared" si="73"/>
        <v>31650.929924144875</v>
      </c>
      <c r="AG29" s="2">
        <f t="shared" si="74"/>
        <v>151014.8881022321</v>
      </c>
      <c r="AH29" s="2">
        <f t="shared" si="75"/>
        <v>0</v>
      </c>
    </row>
    <row r="30" spans="1:34" x14ac:dyDescent="0.55000000000000004">
      <c r="A30" s="9" t="s">
        <v>46</v>
      </c>
      <c r="B30" s="10">
        <f>Z29</f>
        <v>38431.621007780814</v>
      </c>
      <c r="C30" s="10"/>
      <c r="D30" s="10">
        <f>AB29</f>
        <v>39795.513059669844</v>
      </c>
      <c r="E30" s="10">
        <f>AC29</f>
        <v>20522.108626723355</v>
      </c>
      <c r="F30" s="10"/>
      <c r="G30" s="10">
        <f>AE29</f>
        <v>20614.715483913224</v>
      </c>
      <c r="H30" s="10">
        <f>AF29</f>
        <v>31650.929924144875</v>
      </c>
      <c r="I30" s="10">
        <f>SUM(B30:H30)</f>
        <v>151014.8881022321</v>
      </c>
      <c r="J30" s="10"/>
      <c r="K30" s="10"/>
      <c r="S30" s="7"/>
    </row>
    <row r="31" spans="1:34" x14ac:dyDescent="0.55000000000000004">
      <c r="A31" s="11" t="s">
        <v>47</v>
      </c>
      <c r="I31" s="6">
        <f>(I30-I19)/I19</f>
        <v>0.51014888102232103</v>
      </c>
      <c r="K31" s="6"/>
    </row>
    <row r="32" spans="1:34" x14ac:dyDescent="0.55000000000000004">
      <c r="A32" s="1" t="s">
        <v>48</v>
      </c>
      <c r="I32" s="12">
        <f>STDEV(L20:L29)</f>
        <v>0.13073592019797181</v>
      </c>
    </row>
    <row r="33" spans="1:9" x14ac:dyDescent="0.55000000000000004">
      <c r="A33" s="1" t="s">
        <v>49</v>
      </c>
      <c r="I33" s="13">
        <f>((1+I31)^(1/I38))-1</f>
        <v>4.2082197176984248E-2</v>
      </c>
    </row>
    <row r="34" spans="1:9" x14ac:dyDescent="0.55000000000000004">
      <c r="A34" s="1" t="s">
        <v>50</v>
      </c>
      <c r="I34" s="27">
        <f>J21</f>
        <v>-28889.650571999999</v>
      </c>
    </row>
    <row r="35" spans="1:9" x14ac:dyDescent="0.55000000000000004">
      <c r="A35" s="1" t="s">
        <v>51</v>
      </c>
      <c r="I35" s="28">
        <f>K21</f>
        <v>-0.26854558425405889</v>
      </c>
    </row>
    <row r="36" spans="1:9" x14ac:dyDescent="0.55000000000000004">
      <c r="A36" s="3" t="s">
        <v>52</v>
      </c>
      <c r="I36" s="29">
        <f>I30-I29</f>
        <v>0</v>
      </c>
    </row>
    <row r="37" spans="1:9" x14ac:dyDescent="0.55000000000000004">
      <c r="A37" s="3" t="s">
        <v>147</v>
      </c>
      <c r="I37" s="29">
        <f>((SUM(J20:J29))-(I30-I19))</f>
        <v>0</v>
      </c>
    </row>
    <row r="38" spans="1:9" x14ac:dyDescent="0.55000000000000004">
      <c r="A38" s="3" t="s">
        <v>154</v>
      </c>
      <c r="I38" s="3">
        <f>COUNTA(I20:I29)</f>
        <v>10</v>
      </c>
    </row>
    <row r="41" spans="1:9" x14ac:dyDescent="0.55000000000000004">
      <c r="I41"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0"/>
  <sheetViews>
    <sheetView topLeftCell="A10" workbookViewId="0">
      <selection activeCell="I34" sqref="I34"/>
    </sheetView>
  </sheetViews>
  <sheetFormatPr defaultColWidth="8.83984375" defaultRowHeight="14.4" x14ac:dyDescent="0.55000000000000004"/>
  <cols>
    <col min="1" max="1" width="25.41796875" customWidth="1"/>
    <col min="9" max="9" width="11.68359375" customWidth="1"/>
    <col min="10" max="10" width="10" bestFit="1" customWidth="1"/>
    <col min="15" max="15" width="9.83984375" bestFit="1" customWidth="1"/>
    <col min="16" max="16" width="9.83984375" customWidth="1"/>
    <col min="19" max="19" width="10.83984375" bestFit="1" customWidth="1"/>
    <col min="21" max="21" width="11.83984375" bestFit="1" customWidth="1"/>
    <col min="26" max="26" width="10.83984375" bestFit="1" customWidth="1"/>
    <col min="27" max="31" width="10.83984375" customWidth="1"/>
  </cols>
  <sheetData>
    <row r="1" spans="1:33" x14ac:dyDescent="0.55000000000000004">
      <c r="A1" s="18" t="s">
        <v>19</v>
      </c>
      <c r="N1" s="63" t="s">
        <v>144</v>
      </c>
      <c r="O1" s="42"/>
    </row>
    <row r="2" spans="1:33" x14ac:dyDescent="0.55000000000000004">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2"/>
      <c r="O2" s="42"/>
      <c r="P2" s="41"/>
    </row>
    <row r="3" spans="1:33" x14ac:dyDescent="0.55000000000000004">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2" t="s">
        <v>18</v>
      </c>
      <c r="O3" s="42" t="s">
        <v>80</v>
      </c>
      <c r="P3" s="41"/>
    </row>
    <row r="4" spans="1:33" x14ac:dyDescent="0.55000000000000004">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c r="N4" s="42">
        <v>2007</v>
      </c>
      <c r="O4" s="43">
        <v>4.1000000000000002E-2</v>
      </c>
      <c r="P4" s="41"/>
    </row>
    <row r="5" spans="1:33" x14ac:dyDescent="0.55000000000000004">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c r="N5" s="42">
        <v>2008</v>
      </c>
      <c r="O5" s="43">
        <v>0</v>
      </c>
      <c r="P5" s="41"/>
    </row>
    <row r="6" spans="1:33" x14ac:dyDescent="0.55000000000000004">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c r="N6" s="42">
        <v>2009</v>
      </c>
      <c r="O6" s="43">
        <v>2.8000000000000001E-2</v>
      </c>
      <c r="P6" s="41"/>
    </row>
    <row r="7" spans="1:33" x14ac:dyDescent="0.55000000000000004">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c r="N7" s="42">
        <v>2010</v>
      </c>
      <c r="O7" s="43">
        <v>1.4E-2</v>
      </c>
      <c r="P7" s="41"/>
    </row>
    <row r="8" spans="1:33" x14ac:dyDescent="0.55000000000000004">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c r="N8" s="42">
        <v>2011</v>
      </c>
      <c r="O8" s="43">
        <v>0.03</v>
      </c>
      <c r="P8" s="41"/>
    </row>
    <row r="9" spans="1:33" x14ac:dyDescent="0.55000000000000004">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c r="N9" s="42">
        <v>2012</v>
      </c>
      <c r="O9" s="43">
        <v>1.7999999999999999E-2</v>
      </c>
      <c r="P9" s="41"/>
    </row>
    <row r="10" spans="1:33" x14ac:dyDescent="0.55000000000000004">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c r="N10" s="42">
        <v>2013</v>
      </c>
      <c r="O10" s="43">
        <v>1.15559170535223E-2</v>
      </c>
      <c r="P10" s="41"/>
    </row>
    <row r="11" spans="1:33" x14ac:dyDescent="0.55000000000000004">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c r="N11" s="42">
        <v>2014</v>
      </c>
      <c r="O11" s="43">
        <v>1.29E-2</v>
      </c>
      <c r="P11" s="41"/>
    </row>
    <row r="12" spans="1:33" x14ac:dyDescent="0.55000000000000004">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c r="N12" s="42">
        <v>2015</v>
      </c>
      <c r="O12" s="43">
        <v>4.4000000000000003E-3</v>
      </c>
      <c r="P12" s="41"/>
    </row>
    <row r="13" spans="1:33" x14ac:dyDescent="0.55000000000000004">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c r="N13" s="42">
        <v>2016</v>
      </c>
      <c r="O13" s="43">
        <v>1.7000000000000001E-2</v>
      </c>
      <c r="P13" s="41"/>
    </row>
    <row r="14" spans="1:33" x14ac:dyDescent="0.55000000000000004">
      <c r="N14" s="1"/>
      <c r="O14" s="64"/>
    </row>
    <row r="16" spans="1:33" x14ac:dyDescent="0.55000000000000004">
      <c r="A16" s="18" t="s">
        <v>108</v>
      </c>
      <c r="N16" s="18" t="s">
        <v>67</v>
      </c>
      <c r="R16" s="18" t="s">
        <v>117</v>
      </c>
      <c r="AG16" s="18" t="s">
        <v>118</v>
      </c>
    </row>
    <row r="17" spans="1:42" x14ac:dyDescent="0.55000000000000004">
      <c r="B17" s="4" t="str">
        <f t="shared" ref="B17:H18" si="0">B2</f>
        <v>LC Stocks</v>
      </c>
      <c r="C17" s="4" t="str">
        <f t="shared" si="0"/>
        <v>Ext Mkt</v>
      </c>
      <c r="D17" s="4" t="str">
        <f t="shared" si="0"/>
        <v>Mcap Stk</v>
      </c>
      <c r="E17" s="4" t="str">
        <f t="shared" si="0"/>
        <v>Small Cap</v>
      </c>
      <c r="F17" s="4" t="str">
        <f t="shared" si="0"/>
        <v>Intl Val</v>
      </c>
      <c r="G17" s="4" t="str">
        <f t="shared" si="0"/>
        <v>Tot Int Stk</v>
      </c>
      <c r="H17" s="4" t="str">
        <f t="shared" si="0"/>
        <v>Bonds</v>
      </c>
      <c r="I17" s="5"/>
      <c r="J17" s="5" t="s">
        <v>44</v>
      </c>
      <c r="K17" s="5" t="s">
        <v>41</v>
      </c>
      <c r="L17" s="5" t="s">
        <v>42</v>
      </c>
      <c r="S17" s="4" t="str">
        <f t="shared" ref="S17:Y17" si="1">B17</f>
        <v>LC Stocks</v>
      </c>
      <c r="T17" s="4" t="str">
        <f t="shared" si="1"/>
        <v>Ext Mkt</v>
      </c>
      <c r="U17" s="4" t="str">
        <f t="shared" si="1"/>
        <v>Mcap Stk</v>
      </c>
      <c r="V17" s="4" t="str">
        <f t="shared" si="1"/>
        <v>Small Cap</v>
      </c>
      <c r="W17" s="4" t="str">
        <f t="shared" si="1"/>
        <v>Intl Val</v>
      </c>
      <c r="X17" s="4" t="str">
        <f t="shared" si="1"/>
        <v>Tot Int Stk</v>
      </c>
      <c r="Y17" s="4" t="str">
        <f t="shared" si="1"/>
        <v>Bonds</v>
      </c>
      <c r="Z17" s="5"/>
      <c r="AA17" s="5" t="s">
        <v>44</v>
      </c>
      <c r="AB17" s="5" t="s">
        <v>41</v>
      </c>
      <c r="AC17" s="5" t="s">
        <v>42</v>
      </c>
      <c r="AD17" s="5" t="s">
        <v>56</v>
      </c>
      <c r="AE17" s="5"/>
      <c r="AH17" s="4" t="str">
        <f t="shared" ref="AH17:AN18" si="2">B17</f>
        <v>LC Stocks</v>
      </c>
      <c r="AI17" s="4" t="str">
        <f t="shared" si="2"/>
        <v>Ext Mkt</v>
      </c>
      <c r="AJ17" s="4" t="str">
        <f t="shared" si="2"/>
        <v>Mcap Stk</v>
      </c>
      <c r="AK17" s="4" t="str">
        <f t="shared" si="2"/>
        <v>Small Cap</v>
      </c>
      <c r="AL17" s="4" t="str">
        <f t="shared" si="2"/>
        <v>Intl Val</v>
      </c>
      <c r="AM17" s="4" t="str">
        <f t="shared" si="2"/>
        <v>Tot Int Stk</v>
      </c>
      <c r="AN17" s="4" t="str">
        <f t="shared" si="2"/>
        <v>Bonds</v>
      </c>
      <c r="AO17" s="5"/>
    </row>
    <row r="18" spans="1:42" x14ac:dyDescent="0.55000000000000004">
      <c r="A18" t="s">
        <v>40</v>
      </c>
      <c r="B18" s="4" t="str">
        <f t="shared" si="0"/>
        <v>VFINX</v>
      </c>
      <c r="C18" s="4" t="str">
        <f t="shared" si="0"/>
        <v>VEXMX</v>
      </c>
      <c r="D18" s="4" t="str">
        <f t="shared" si="0"/>
        <v>VIMSX</v>
      </c>
      <c r="E18" s="4" t="str">
        <f t="shared" si="0"/>
        <v>NAESX</v>
      </c>
      <c r="F18" s="4" t="str">
        <f t="shared" si="0"/>
        <v>VTRIX</v>
      </c>
      <c r="G18" s="4" t="str">
        <f t="shared" si="0"/>
        <v>VGTSX</v>
      </c>
      <c r="H18" s="4" t="str">
        <f t="shared" si="0"/>
        <v>VBMFX</v>
      </c>
      <c r="I18" s="5" t="s">
        <v>38</v>
      </c>
      <c r="J18" s="5" t="s">
        <v>45</v>
      </c>
      <c r="K18" s="5" t="s">
        <v>43</v>
      </c>
      <c r="L18" s="5" t="s">
        <v>43</v>
      </c>
      <c r="R18" t="str">
        <f>A18</f>
        <v>Fund</v>
      </c>
      <c r="S18" s="4" t="str">
        <f t="shared" ref="S18" si="3">B18</f>
        <v>VFINX</v>
      </c>
      <c r="T18" s="4" t="str">
        <f t="shared" ref="T18" si="4">C18</f>
        <v>VEXMX</v>
      </c>
      <c r="U18" s="4" t="str">
        <f t="shared" ref="U18:U19" si="5">D18</f>
        <v>VIMSX</v>
      </c>
      <c r="V18" s="4" t="str">
        <f t="shared" ref="V18:V19" si="6">E18</f>
        <v>NAESX</v>
      </c>
      <c r="W18" s="4" t="str">
        <f t="shared" ref="W18" si="7">F18</f>
        <v>VTRIX</v>
      </c>
      <c r="X18" s="4" t="str">
        <f t="shared" ref="X18:X19" si="8">G18</f>
        <v>VGTSX</v>
      </c>
      <c r="Y18" s="4" t="str">
        <f t="shared" ref="Y18:Y19" si="9">H18</f>
        <v>VBMFX</v>
      </c>
      <c r="Z18" s="5" t="str">
        <f t="shared" ref="Z18:Z19" si="10">I18</f>
        <v>Total</v>
      </c>
      <c r="AA18" s="5" t="s">
        <v>45</v>
      </c>
      <c r="AB18" s="5" t="s">
        <v>43</v>
      </c>
      <c r="AC18" s="5" t="s">
        <v>43</v>
      </c>
      <c r="AD18" s="5" t="s">
        <v>55</v>
      </c>
      <c r="AE18" s="5"/>
      <c r="AG18" t="s">
        <v>40</v>
      </c>
      <c r="AH18" s="4" t="str">
        <f t="shared" si="2"/>
        <v>VFINX</v>
      </c>
      <c r="AI18" s="4" t="str">
        <f t="shared" si="2"/>
        <v>VEXMX</v>
      </c>
      <c r="AJ18" s="4" t="str">
        <f t="shared" si="2"/>
        <v>VIMSX</v>
      </c>
      <c r="AK18" s="4" t="str">
        <f t="shared" si="2"/>
        <v>NAESX</v>
      </c>
      <c r="AL18" s="4" t="str">
        <f t="shared" si="2"/>
        <v>VTRIX</v>
      </c>
      <c r="AM18" s="4" t="str">
        <f t="shared" si="2"/>
        <v>VGTSX</v>
      </c>
      <c r="AN18" s="4" t="str">
        <f t="shared" si="2"/>
        <v>VBMFX</v>
      </c>
      <c r="AO18" s="5" t="s">
        <v>38</v>
      </c>
    </row>
    <row r="19" spans="1:42" x14ac:dyDescent="0.55000000000000004">
      <c r="A19" t="s">
        <v>39</v>
      </c>
      <c r="B19" s="2">
        <f>'Non-Rebalanced Strategy'!B19</f>
        <v>20000</v>
      </c>
      <c r="C19" s="2"/>
      <c r="D19" s="2">
        <f>'Non-Rebalanced Strategy'!D19</f>
        <v>20000</v>
      </c>
      <c r="E19" s="2">
        <f>'Non-Rebalanced Strategy'!E19</f>
        <v>10000</v>
      </c>
      <c r="F19" s="2"/>
      <c r="G19" s="2">
        <f>'Non-Rebalanced Strategy'!G19</f>
        <v>20000</v>
      </c>
      <c r="H19" s="2">
        <f>'Non-Rebalanced Strategy'!H19</f>
        <v>30000</v>
      </c>
      <c r="I19" s="2">
        <f>SUM(B19:H19)</f>
        <v>100000</v>
      </c>
      <c r="N19" s="19"/>
      <c r="R19" t="str">
        <f>A19</f>
        <v>Stating Balance</v>
      </c>
      <c r="S19" s="2">
        <f>B19</f>
        <v>20000</v>
      </c>
      <c r="T19" s="2"/>
      <c r="U19" s="2">
        <f t="shared" si="5"/>
        <v>20000</v>
      </c>
      <c r="V19" s="2">
        <f t="shared" si="6"/>
        <v>10000</v>
      </c>
      <c r="W19" s="2"/>
      <c r="X19" s="2">
        <f t="shared" si="8"/>
        <v>20000</v>
      </c>
      <c r="Y19" s="2">
        <f t="shared" si="9"/>
        <v>30000</v>
      </c>
      <c r="Z19" s="2">
        <f t="shared" si="10"/>
        <v>100000</v>
      </c>
      <c r="AD19" s="2"/>
      <c r="AE19" s="2"/>
      <c r="AG19" s="19" t="s">
        <v>54</v>
      </c>
      <c r="AH19" s="6">
        <f>S19/$Z19</f>
        <v>0.2</v>
      </c>
      <c r="AI19" s="6"/>
      <c r="AJ19" s="6">
        <f>U19/$Z19</f>
        <v>0.2</v>
      </c>
      <c r="AK19" s="6">
        <f>V19/$Z19</f>
        <v>0.1</v>
      </c>
      <c r="AL19" s="6"/>
      <c r="AM19" s="6">
        <f>X19/$Z19</f>
        <v>0.2</v>
      </c>
      <c r="AN19" s="6">
        <f>Y19/$Z19</f>
        <v>0.3</v>
      </c>
      <c r="AO19" s="6">
        <f>Z19/$Z19</f>
        <v>1</v>
      </c>
      <c r="AP19" s="22"/>
    </row>
    <row r="20" spans="1:42" x14ac:dyDescent="0.55000000000000004">
      <c r="A20">
        <f t="shared" ref="A20:A27" si="11">A4</f>
        <v>2007</v>
      </c>
      <c r="B20" s="2">
        <f>B$19*(1+(B4/100))</f>
        <v>21078</v>
      </c>
      <c r="C20" s="2"/>
      <c r="D20" s="2">
        <f>D$19*(1+(D4/100))</f>
        <v>21204.2</v>
      </c>
      <c r="E20" s="2">
        <f>E$19*(1+(E4/100))</f>
        <v>10115.6</v>
      </c>
      <c r="F20" s="2"/>
      <c r="G20" s="2">
        <f>G$19*(1+(G4/100))</f>
        <v>23104.399999999998</v>
      </c>
      <c r="H20" s="2">
        <f>H$19*(1+(H4/100))</f>
        <v>32075.999999999996</v>
      </c>
      <c r="I20" s="2">
        <f t="shared" ref="I20:I22" si="12">SUM(B20:H20)</f>
        <v>107578.2</v>
      </c>
      <c r="J20" s="2">
        <f>I20-I19</f>
        <v>7578.1999999999971</v>
      </c>
      <c r="K20" s="6">
        <f>(J20/I19)</f>
        <v>7.5781999999999974E-2</v>
      </c>
      <c r="L20" s="7">
        <f t="shared" ref="L20:L25" si="13">K20+1</f>
        <v>1.075782</v>
      </c>
      <c r="N20">
        <f t="shared" ref="N20:N25" si="14">A20</f>
        <v>2007</v>
      </c>
      <c r="O20" s="2">
        <f>I20*(0.04)</f>
        <v>4303.1279999999997</v>
      </c>
      <c r="P20" s="2"/>
      <c r="Q20" s="2"/>
      <c r="R20">
        <f t="shared" ref="R20:R22" si="15">A20</f>
        <v>2007</v>
      </c>
      <c r="S20" s="2">
        <f t="shared" ref="S20:S24" si="16">B20-($O20/5)</f>
        <v>20217.374400000001</v>
      </c>
      <c r="T20" s="2"/>
      <c r="U20" s="2">
        <f t="shared" ref="U20:U24" si="17">D20-($O20/5)</f>
        <v>20343.574400000001</v>
      </c>
      <c r="V20" s="2">
        <f t="shared" ref="V20:V24" si="18">E20-($O20/5)</f>
        <v>9254.974400000001</v>
      </c>
      <c r="W20" s="2"/>
      <c r="X20" s="2">
        <f t="shared" ref="X20:X24" si="19">G20-($O20/5)</f>
        <v>22243.774399999998</v>
      </c>
      <c r="Y20" s="2">
        <f t="shared" ref="Y20:Y24" si="20">H20-($O20/5)</f>
        <v>31215.374399999997</v>
      </c>
      <c r="Z20" s="2">
        <f t="shared" ref="Z20:Z24" si="21">SUM(S20:Y20)</f>
        <v>103275.072</v>
      </c>
      <c r="AA20" s="2">
        <f>Z20-Z19</f>
        <v>3275.0720000000001</v>
      </c>
      <c r="AB20" s="6">
        <f>(AA20/Z19)</f>
        <v>3.2750720000000004E-2</v>
      </c>
      <c r="AC20" s="7">
        <f t="shared" ref="AC20:AC24" si="22">AB20+1</f>
        <v>1.0327507199999999</v>
      </c>
      <c r="AD20" s="2">
        <f t="shared" ref="AD20:AD24" si="23">Z20-(I20-O20)</f>
        <v>0</v>
      </c>
      <c r="AE20" s="2"/>
      <c r="AG20">
        <f t="shared" ref="AG20:AG24" si="24">A20</f>
        <v>2007</v>
      </c>
      <c r="AH20" s="6">
        <f t="shared" ref="AH20:AM24" si="25">S20/$Z20</f>
        <v>0.19576238494416157</v>
      </c>
      <c r="AI20" s="6"/>
      <c r="AJ20" s="6">
        <f t="shared" si="25"/>
        <v>0.19698436424232171</v>
      </c>
      <c r="AK20" s="6">
        <f t="shared" si="25"/>
        <v>8.9614794942965523E-2</v>
      </c>
      <c r="AL20" s="6"/>
      <c r="AM20" s="6">
        <f t="shared" si="25"/>
        <v>0.21538377044171897</v>
      </c>
      <c r="AN20" s="6">
        <f t="shared" ref="AN20:AN24" si="26">Y20/$Z20</f>
        <v>0.30225468542883221</v>
      </c>
      <c r="AO20" s="20">
        <f>SUM(AH20:AN20)</f>
        <v>1</v>
      </c>
      <c r="AP20" s="22"/>
    </row>
    <row r="21" spans="1:42" x14ac:dyDescent="0.55000000000000004">
      <c r="A21">
        <f t="shared" si="11"/>
        <v>2008</v>
      </c>
      <c r="B21" s="2">
        <f t="shared" ref="B21:B27" si="27">S20*(1+(B5/100))</f>
        <v>12732.902397119999</v>
      </c>
      <c r="C21" s="2"/>
      <c r="D21" s="2">
        <f t="shared" ref="D21:E27" si="28">U20*(1+(D5/100))</f>
        <v>11835.077842944002</v>
      </c>
      <c r="E21" s="2">
        <f t="shared" si="28"/>
        <v>5916.7051339200007</v>
      </c>
      <c r="F21" s="2"/>
      <c r="G21" s="2">
        <f t="shared" ref="G21:H27" si="29">X20*(1+(G5/100))</f>
        <v>12434.047451855999</v>
      </c>
      <c r="H21" s="2">
        <f t="shared" si="29"/>
        <v>32791.750807199998</v>
      </c>
      <c r="I21" s="2">
        <f t="shared" si="12"/>
        <v>75710.483633039999</v>
      </c>
      <c r="J21" s="2">
        <f t="shared" ref="J21:J25" si="30">I21-I20</f>
        <v>-31867.716366959998</v>
      </c>
      <c r="K21" s="6">
        <f t="shared" ref="K21:K25" si="31">(J21/I20)</f>
        <v>-0.2962283842540589</v>
      </c>
      <c r="L21" s="7">
        <f t="shared" si="13"/>
        <v>0.70377161574594105</v>
      </c>
      <c r="N21">
        <f t="shared" si="14"/>
        <v>2008</v>
      </c>
      <c r="O21" s="2">
        <f t="shared" ref="O21:O27" si="32">O20*(1+O5)</f>
        <v>4303.1279999999997</v>
      </c>
      <c r="P21" s="2"/>
      <c r="Q21" s="2"/>
      <c r="R21">
        <f t="shared" si="15"/>
        <v>2008</v>
      </c>
      <c r="S21" s="2">
        <f t="shared" si="16"/>
        <v>11872.276797119999</v>
      </c>
      <c r="T21" s="2"/>
      <c r="U21" s="2">
        <f t="shared" si="17"/>
        <v>10974.452242944002</v>
      </c>
      <c r="V21" s="2">
        <f t="shared" si="18"/>
        <v>5056.0795339200004</v>
      </c>
      <c r="W21" s="2"/>
      <c r="X21" s="2">
        <f t="shared" si="19"/>
        <v>11573.421851855999</v>
      </c>
      <c r="Y21" s="2">
        <f t="shared" si="20"/>
        <v>31931.125207199999</v>
      </c>
      <c r="Z21" s="2">
        <f t="shared" si="21"/>
        <v>71407.355633040002</v>
      </c>
      <c r="AA21" s="2">
        <f t="shared" ref="AA21:AA24" si="33">Z21-Z20</f>
        <v>-31867.716366959998</v>
      </c>
      <c r="AB21" s="6">
        <f t="shared" ref="AB21:AB24" si="34">(AA21/Z20)</f>
        <v>-0.308571233597978</v>
      </c>
      <c r="AC21" s="7">
        <f t="shared" si="22"/>
        <v>0.691428766402022</v>
      </c>
      <c r="AD21" s="2">
        <f t="shared" si="23"/>
        <v>0</v>
      </c>
      <c r="AE21" s="2"/>
      <c r="AG21">
        <f t="shared" si="24"/>
        <v>2008</v>
      </c>
      <c r="AH21" s="6">
        <f t="shared" si="25"/>
        <v>0.16626125826772287</v>
      </c>
      <c r="AI21" s="6"/>
      <c r="AJ21" s="6">
        <f t="shared" si="25"/>
        <v>0.15368797997984049</v>
      </c>
      <c r="AK21" s="6">
        <f t="shared" si="25"/>
        <v>7.0806144396426365E-2</v>
      </c>
      <c r="AL21" s="6"/>
      <c r="AM21" s="6">
        <f t="shared" si="25"/>
        <v>0.16207604593750011</v>
      </c>
      <c r="AN21" s="6">
        <f t="shared" si="26"/>
        <v>0.44716857141851013</v>
      </c>
      <c r="AO21" s="20">
        <f t="shared" ref="AO21:AO24" si="35">SUM(AH21:AN21)</f>
        <v>1</v>
      </c>
      <c r="AP21" s="22"/>
    </row>
    <row r="22" spans="1:42" x14ac:dyDescent="0.55000000000000004">
      <c r="A22">
        <f t="shared" si="11"/>
        <v>2009</v>
      </c>
      <c r="B22" s="2">
        <f t="shared" si="27"/>
        <v>15017.242920677087</v>
      </c>
      <c r="C22" s="2"/>
      <c r="D22" s="2">
        <f t="shared" si="28"/>
        <v>15388.157446011221</v>
      </c>
      <c r="E22" s="2">
        <f t="shared" si="28"/>
        <v>6882.2343399812262</v>
      </c>
      <c r="F22" s="2"/>
      <c r="G22" s="2">
        <f t="shared" si="29"/>
        <v>15823.992495387152</v>
      </c>
      <c r="H22" s="2">
        <f t="shared" si="29"/>
        <v>33824.640931986956</v>
      </c>
      <c r="I22" s="2">
        <f t="shared" si="12"/>
        <v>86936.268134043639</v>
      </c>
      <c r="J22" s="2">
        <f t="shared" si="30"/>
        <v>11225.78450100364</v>
      </c>
      <c r="K22" s="6">
        <f t="shared" si="31"/>
        <v>0.14827252399302751</v>
      </c>
      <c r="L22" s="7">
        <f t="shared" si="13"/>
        <v>1.1482725239930276</v>
      </c>
      <c r="N22">
        <f t="shared" si="14"/>
        <v>2009</v>
      </c>
      <c r="O22" s="2">
        <f t="shared" si="32"/>
        <v>4423.6155840000001</v>
      </c>
      <c r="P22" s="2"/>
      <c r="Q22" s="2"/>
      <c r="R22">
        <f t="shared" si="15"/>
        <v>2009</v>
      </c>
      <c r="S22" s="2">
        <f t="shared" si="16"/>
        <v>14132.519803877087</v>
      </c>
      <c r="T22" s="2"/>
      <c r="U22" s="2">
        <f t="shared" si="17"/>
        <v>14503.434329211221</v>
      </c>
      <c r="V22" s="2">
        <f t="shared" si="18"/>
        <v>5997.5112231812263</v>
      </c>
      <c r="W22" s="2"/>
      <c r="X22" s="2">
        <f t="shared" si="19"/>
        <v>14939.269378587152</v>
      </c>
      <c r="Y22" s="2">
        <f t="shared" si="20"/>
        <v>32939.917815186956</v>
      </c>
      <c r="Z22" s="2">
        <f t="shared" si="21"/>
        <v>82512.65255004364</v>
      </c>
      <c r="AA22" s="2">
        <f t="shared" si="33"/>
        <v>11105.296917003638</v>
      </c>
      <c r="AB22" s="6">
        <f t="shared" si="34"/>
        <v>0.15552034966920472</v>
      </c>
      <c r="AC22" s="7">
        <f t="shared" si="22"/>
        <v>1.1555203496692048</v>
      </c>
      <c r="AD22" s="2">
        <f t="shared" si="23"/>
        <v>0</v>
      </c>
      <c r="AE22" s="2"/>
      <c r="AG22">
        <f t="shared" si="24"/>
        <v>2009</v>
      </c>
      <c r="AH22" s="6">
        <f t="shared" si="25"/>
        <v>0.17127700258218898</v>
      </c>
      <c r="AI22" s="6"/>
      <c r="AJ22" s="6">
        <f t="shared" si="25"/>
        <v>0.1757722468128744</v>
      </c>
      <c r="AK22" s="6">
        <f t="shared" si="25"/>
        <v>7.26859583085607E-2</v>
      </c>
      <c r="AL22" s="6"/>
      <c r="AM22" s="6">
        <f t="shared" si="25"/>
        <v>0.18105428582030539</v>
      </c>
      <c r="AN22" s="6">
        <f t="shared" si="26"/>
        <v>0.39921050647607054</v>
      </c>
      <c r="AO22" s="20">
        <f t="shared" si="35"/>
        <v>1</v>
      </c>
      <c r="AP22" s="22"/>
    </row>
    <row r="23" spans="1:42" x14ac:dyDescent="0.55000000000000004">
      <c r="A23">
        <f t="shared" si="11"/>
        <v>2010</v>
      </c>
      <c r="B23" s="2">
        <f t="shared" si="27"/>
        <v>16239.67850663516</v>
      </c>
      <c r="C23" s="2"/>
      <c r="D23" s="2">
        <f t="shared" si="28"/>
        <v>18196.008709428395</v>
      </c>
      <c r="E23" s="2">
        <f t="shared" si="28"/>
        <v>7660.0213342470634</v>
      </c>
      <c r="F23" s="2"/>
      <c r="G23" s="2">
        <f t="shared" si="29"/>
        <v>16600.516133486042</v>
      </c>
      <c r="H23" s="2">
        <f t="shared" si="29"/>
        <v>35054.660538921962</v>
      </c>
      <c r="I23" s="2">
        <f t="shared" ref="I23:I25" si="36">SUM(B23:H23)</f>
        <v>93750.885222718629</v>
      </c>
      <c r="J23" s="2">
        <f t="shared" si="30"/>
        <v>6814.6170886749896</v>
      </c>
      <c r="K23" s="6">
        <f t="shared" si="31"/>
        <v>7.8386353991728719E-2</v>
      </c>
      <c r="L23" s="7">
        <f t="shared" si="13"/>
        <v>1.0783863539917287</v>
      </c>
      <c r="N23">
        <f t="shared" si="14"/>
        <v>2010</v>
      </c>
      <c r="O23" s="2">
        <f t="shared" si="32"/>
        <v>4485.5462021760004</v>
      </c>
      <c r="P23" s="2"/>
      <c r="Q23" s="2"/>
      <c r="R23">
        <f t="shared" ref="R23" si="37">A23</f>
        <v>2010</v>
      </c>
      <c r="S23" s="2">
        <f t="shared" si="16"/>
        <v>15342.56926619996</v>
      </c>
      <c r="T23" s="2"/>
      <c r="U23" s="2">
        <f t="shared" si="17"/>
        <v>17298.899468993197</v>
      </c>
      <c r="V23" s="2">
        <f t="shared" si="18"/>
        <v>6762.9120938118631</v>
      </c>
      <c r="W23" s="2"/>
      <c r="X23" s="2">
        <f t="shared" si="19"/>
        <v>15703.406893050842</v>
      </c>
      <c r="Y23" s="2">
        <f t="shared" si="20"/>
        <v>34157.55129848676</v>
      </c>
      <c r="Z23" s="2">
        <f t="shared" si="21"/>
        <v>89265.339020542626</v>
      </c>
      <c r="AA23" s="2">
        <f t="shared" si="33"/>
        <v>6752.6864704989857</v>
      </c>
      <c r="AB23" s="6">
        <f t="shared" si="34"/>
        <v>8.183819404428315E-2</v>
      </c>
      <c r="AC23" s="7">
        <f t="shared" si="22"/>
        <v>1.0818381940442832</v>
      </c>
      <c r="AD23" s="2">
        <f t="shared" si="23"/>
        <v>0</v>
      </c>
      <c r="AE23" s="2"/>
      <c r="AG23">
        <f t="shared" si="24"/>
        <v>2010</v>
      </c>
      <c r="AH23" s="6">
        <f t="shared" si="25"/>
        <v>0.17187599839473164</v>
      </c>
      <c r="AI23" s="6"/>
      <c r="AJ23" s="6">
        <f t="shared" si="25"/>
        <v>0.19379189793938051</v>
      </c>
      <c r="AK23" s="6">
        <f t="shared" si="25"/>
        <v>7.5761904542316419E-2</v>
      </c>
      <c r="AL23" s="6"/>
      <c r="AM23" s="6">
        <f t="shared" si="25"/>
        <v>0.17591830228121375</v>
      </c>
      <c r="AN23" s="6">
        <f t="shared" si="26"/>
        <v>0.38265189684235767</v>
      </c>
      <c r="AO23" s="20">
        <f t="shared" si="35"/>
        <v>0.99999999999999989</v>
      </c>
      <c r="AP23" s="22"/>
    </row>
    <row r="24" spans="1:42" x14ac:dyDescent="0.55000000000000004">
      <c r="A24">
        <f t="shared" si="11"/>
        <v>2011</v>
      </c>
      <c r="B24" s="2">
        <f t="shared" si="27"/>
        <v>15644.8178807441</v>
      </c>
      <c r="C24" s="2"/>
      <c r="D24" s="2">
        <f t="shared" si="28"/>
        <v>16933.892690197441</v>
      </c>
      <c r="E24" s="2">
        <f t="shared" si="28"/>
        <v>6573.5505551851311</v>
      </c>
      <c r="F24" s="2"/>
      <c r="G24" s="2">
        <f t="shared" si="29"/>
        <v>13416.99084942264</v>
      </c>
      <c r="H24" s="2">
        <f t="shared" si="29"/>
        <v>36739.862176652365</v>
      </c>
      <c r="I24" s="2">
        <f t="shared" si="36"/>
        <v>89309.114152201684</v>
      </c>
      <c r="J24" s="2">
        <f t="shared" si="30"/>
        <v>-4441.7710705169447</v>
      </c>
      <c r="K24" s="6">
        <f t="shared" si="31"/>
        <v>-4.7378444053780215E-2</v>
      </c>
      <c r="L24" s="7">
        <f t="shared" si="13"/>
        <v>0.95262155594621978</v>
      </c>
      <c r="N24">
        <f t="shared" si="14"/>
        <v>2011</v>
      </c>
      <c r="O24" s="2">
        <f t="shared" si="32"/>
        <v>4620.1125882412807</v>
      </c>
      <c r="P24" s="2"/>
      <c r="Q24" s="2"/>
      <c r="R24">
        <f t="shared" ref="R24" si="38">A24</f>
        <v>2011</v>
      </c>
      <c r="S24" s="2">
        <f t="shared" si="16"/>
        <v>14720.795363095844</v>
      </c>
      <c r="T24" s="2"/>
      <c r="U24" s="2">
        <f t="shared" si="17"/>
        <v>16009.870172549185</v>
      </c>
      <c r="V24" s="2">
        <f t="shared" si="18"/>
        <v>5649.5280375368748</v>
      </c>
      <c r="W24" s="2"/>
      <c r="X24" s="2">
        <f t="shared" si="19"/>
        <v>12492.968331774384</v>
      </c>
      <c r="Y24" s="2">
        <f t="shared" si="20"/>
        <v>35815.839659004108</v>
      </c>
      <c r="Z24" s="2">
        <f t="shared" si="21"/>
        <v>84689.001563960395</v>
      </c>
      <c r="AA24" s="2">
        <f t="shared" si="33"/>
        <v>-4576.3374565822305</v>
      </c>
      <c r="AB24" s="6">
        <f t="shared" si="34"/>
        <v>-5.1266678722063426E-2</v>
      </c>
      <c r="AC24" s="7">
        <f t="shared" si="22"/>
        <v>0.94873332127793653</v>
      </c>
      <c r="AD24" s="2">
        <f t="shared" si="23"/>
        <v>0</v>
      </c>
      <c r="AE24" s="2"/>
      <c r="AG24">
        <f t="shared" si="24"/>
        <v>2011</v>
      </c>
      <c r="AH24" s="6">
        <f t="shared" si="25"/>
        <v>0.17382180792364321</v>
      </c>
      <c r="AI24" s="6"/>
      <c r="AJ24" s="6">
        <f t="shared" si="25"/>
        <v>0.18904308560607971</v>
      </c>
      <c r="AK24" s="6">
        <f t="shared" si="25"/>
        <v>6.6709111374635033E-2</v>
      </c>
      <c r="AL24" s="7"/>
      <c r="AM24" s="6">
        <f t="shared" si="25"/>
        <v>0.14751582969530244</v>
      </c>
      <c r="AN24" s="6">
        <f t="shared" si="26"/>
        <v>0.4229101654003396</v>
      </c>
      <c r="AO24" s="20">
        <f t="shared" si="35"/>
        <v>1</v>
      </c>
      <c r="AP24" s="22"/>
    </row>
    <row r="25" spans="1:42" x14ac:dyDescent="0.55000000000000004">
      <c r="A25">
        <f t="shared" si="11"/>
        <v>2012</v>
      </c>
      <c r="B25" s="2">
        <f t="shared" si="27"/>
        <v>17049.625189537604</v>
      </c>
      <c r="C25" s="2"/>
      <c r="D25" s="2">
        <f t="shared" si="28"/>
        <v>18539.429659811954</v>
      </c>
      <c r="E25" s="2">
        <f t="shared" si="28"/>
        <v>6668.7028955085279</v>
      </c>
      <c r="F25" s="2"/>
      <c r="G25" s="2">
        <f t="shared" si="29"/>
        <v>14759.192787158257</v>
      </c>
      <c r="H25" s="2">
        <f t="shared" si="29"/>
        <v>37266.381165193772</v>
      </c>
      <c r="I25" s="2">
        <f t="shared" si="36"/>
        <v>94283.331697210117</v>
      </c>
      <c r="J25" s="2">
        <f t="shared" si="30"/>
        <v>4974.2175450084324</v>
      </c>
      <c r="K25" s="6">
        <f t="shared" si="31"/>
        <v>5.5696639612070387E-2</v>
      </c>
      <c r="L25" s="7">
        <f t="shared" si="13"/>
        <v>1.0556966396120704</v>
      </c>
      <c r="N25">
        <f t="shared" si="14"/>
        <v>2012</v>
      </c>
      <c r="O25" s="2">
        <f t="shared" si="32"/>
        <v>4703.2746148296237</v>
      </c>
      <c r="P25" s="2"/>
      <c r="Q25" s="2"/>
      <c r="R25">
        <f t="shared" ref="R25:R27" si="39">A25</f>
        <v>2012</v>
      </c>
      <c r="S25" s="2">
        <f t="shared" ref="S25:S27" si="40">B25-($O25/5)</f>
        <v>16108.97026657168</v>
      </c>
      <c r="T25" s="2"/>
      <c r="U25" s="2">
        <f t="shared" ref="U25:U27" si="41">D25-($O25/5)</f>
        <v>17598.77473684603</v>
      </c>
      <c r="V25" s="2">
        <f t="shared" ref="V25:V27" si="42">E25-($O25/5)</f>
        <v>5728.047972542603</v>
      </c>
      <c r="W25" s="2"/>
      <c r="X25" s="2">
        <f t="shared" ref="X25:X27" si="43">G25-($O25/5)</f>
        <v>13818.537864192333</v>
      </c>
      <c r="Y25" s="2">
        <f t="shared" ref="Y25:Y27" si="44">H25-($O25/5)</f>
        <v>36325.726242227851</v>
      </c>
      <c r="Z25" s="2">
        <f t="shared" ref="Z25:Z27" si="45">SUM(S25:Y25)</f>
        <v>89580.057082380488</v>
      </c>
      <c r="AA25" s="2">
        <f t="shared" ref="AA25:AA27" si="46">Z25-Z24</f>
        <v>4891.055518420093</v>
      </c>
      <c r="AB25" s="6">
        <f t="shared" ref="AB25:AB27" si="47">(AA25/Z24)</f>
        <v>5.7753137102769823E-2</v>
      </c>
      <c r="AC25" s="7">
        <f t="shared" ref="AC25:AC27" si="48">AB25+1</f>
        <v>1.0577531371027697</v>
      </c>
      <c r="AD25" s="2">
        <f t="shared" ref="AD25:AD27" si="49">Z25-(I25-O25)</f>
        <v>0</v>
      </c>
      <c r="AE25" s="2"/>
      <c r="AG25">
        <f t="shared" ref="AG25:AG27" si="50">A25</f>
        <v>2012</v>
      </c>
      <c r="AH25" s="6">
        <f t="shared" ref="AH25:AH27" si="51">S25/$Z25</f>
        <v>0.17982764011589533</v>
      </c>
      <c r="AI25" s="6"/>
      <c r="AJ25" s="6">
        <f t="shared" ref="AJ25:AJ27" si="52">U25/$Z25</f>
        <v>0.1964586238280879</v>
      </c>
      <c r="AK25" s="6">
        <f t="shared" ref="AK25:AK27" si="53">V25/$Z25</f>
        <v>6.3943339166159713E-2</v>
      </c>
      <c r="AL25" s="7"/>
      <c r="AM25" s="6">
        <f t="shared" ref="AM25:AM27" si="54">X25/$Z25</f>
        <v>0.15425908750520659</v>
      </c>
      <c r="AN25" s="6">
        <f t="shared" ref="AN25:AN27" si="55">Y25/$Z25</f>
        <v>0.40551130938465058</v>
      </c>
      <c r="AO25" s="20">
        <f t="shared" ref="AO25:AO27" si="56">SUM(AH25:AN25)</f>
        <v>1</v>
      </c>
      <c r="AP25" s="22"/>
    </row>
    <row r="26" spans="1:42" x14ac:dyDescent="0.55000000000000004">
      <c r="A26">
        <f t="shared" si="11"/>
        <v>2013</v>
      </c>
      <c r="B26" s="2">
        <f t="shared" si="27"/>
        <v>21292.836898354446</v>
      </c>
      <c r="C26" s="2"/>
      <c r="D26" s="2">
        <f t="shared" si="28"/>
        <v>23758.345894742142</v>
      </c>
      <c r="E26" s="2">
        <f t="shared" si="28"/>
        <v>7882.9396198131299</v>
      </c>
      <c r="F26" s="2"/>
      <c r="G26" s="2">
        <f t="shared" si="29"/>
        <v>15896.845958966858</v>
      </c>
      <c r="H26" s="2">
        <f t="shared" si="29"/>
        <v>35504.764829153501</v>
      </c>
      <c r="I26" s="2">
        <f t="shared" ref="I26:I27" si="57">SUM(B26:H26)</f>
        <v>104335.73320103007</v>
      </c>
      <c r="J26" s="2">
        <f t="shared" ref="J26:J27" si="58">I26-I25</f>
        <v>10052.401503819958</v>
      </c>
      <c r="K26" s="6">
        <f t="shared" ref="K26:K27" si="59">(J26/I25)</f>
        <v>0.10661907383696553</v>
      </c>
      <c r="L26" s="7">
        <f t="shared" ref="L26:L27" si="60">K26+1</f>
        <v>1.1066190738369655</v>
      </c>
      <c r="N26">
        <f t="shared" ref="N26:N27" si="61">A26</f>
        <v>2013</v>
      </c>
      <c r="O26" s="2">
        <f t="shared" si="32"/>
        <v>4757.6252661585313</v>
      </c>
      <c r="P26" s="2"/>
      <c r="Q26" s="2"/>
      <c r="R26">
        <f t="shared" si="39"/>
        <v>2013</v>
      </c>
      <c r="S26" s="2">
        <f t="shared" si="40"/>
        <v>20341.311845122738</v>
      </c>
      <c r="T26" s="2"/>
      <c r="U26" s="2">
        <f t="shared" si="41"/>
        <v>22806.820841510435</v>
      </c>
      <c r="V26" s="2">
        <f t="shared" si="42"/>
        <v>6931.414566581424</v>
      </c>
      <c r="W26" s="2"/>
      <c r="X26" s="2">
        <f t="shared" si="43"/>
        <v>14945.320905735152</v>
      </c>
      <c r="Y26" s="2">
        <f t="shared" si="44"/>
        <v>34553.239775921793</v>
      </c>
      <c r="Z26" s="2">
        <f t="shared" si="45"/>
        <v>99578.107934871543</v>
      </c>
      <c r="AA26" s="2">
        <f t="shared" si="46"/>
        <v>9998.0508524910547</v>
      </c>
      <c r="AB26" s="6">
        <f t="shared" si="47"/>
        <v>0.11161023087199587</v>
      </c>
      <c r="AC26" s="7">
        <f t="shared" si="48"/>
        <v>1.111610230871996</v>
      </c>
      <c r="AD26" s="2">
        <f t="shared" si="49"/>
        <v>0</v>
      </c>
      <c r="AE26" s="2"/>
      <c r="AG26">
        <f t="shared" si="50"/>
        <v>2013</v>
      </c>
      <c r="AH26" s="6">
        <f t="shared" si="51"/>
        <v>0.20427493820656695</v>
      </c>
      <c r="AI26" s="6"/>
      <c r="AJ26" s="6">
        <f t="shared" si="52"/>
        <v>0.22903448674107263</v>
      </c>
      <c r="AK26" s="6">
        <f t="shared" si="53"/>
        <v>6.9607815516186278E-2</v>
      </c>
      <c r="AL26" s="7"/>
      <c r="AM26" s="6">
        <f t="shared" si="54"/>
        <v>0.15008641171923098</v>
      </c>
      <c r="AN26" s="6">
        <f t="shared" si="55"/>
        <v>0.34699634781694316</v>
      </c>
      <c r="AO26" s="20">
        <f t="shared" si="56"/>
        <v>1</v>
      </c>
      <c r="AP26" s="22"/>
    </row>
    <row r="27" spans="1:42" x14ac:dyDescent="0.55000000000000004">
      <c r="A27">
        <f t="shared" si="11"/>
        <v>2014</v>
      </c>
      <c r="B27" s="2">
        <f t="shared" si="27"/>
        <v>23089.423075398819</v>
      </c>
      <c r="C27" s="2"/>
      <c r="D27" s="2">
        <f t="shared" si="28"/>
        <v>25908.548475955857</v>
      </c>
      <c r="E27" s="2">
        <f t="shared" si="28"/>
        <v>7442.2598201384753</v>
      </c>
      <c r="F27" s="2"/>
      <c r="G27" s="2">
        <f t="shared" si="29"/>
        <v>14311.639299331982</v>
      </c>
      <c r="H27" s="2">
        <f t="shared" si="29"/>
        <v>36543.506387014888</v>
      </c>
      <c r="I27" s="2">
        <f t="shared" si="57"/>
        <v>107295.37705784001</v>
      </c>
      <c r="J27" s="2">
        <f t="shared" si="58"/>
        <v>2959.6438568099402</v>
      </c>
      <c r="K27" s="6">
        <f t="shared" si="59"/>
        <v>2.8366541030649704E-2</v>
      </c>
      <c r="L27" s="7">
        <f t="shared" si="60"/>
        <v>1.0283665410306497</v>
      </c>
      <c r="N27">
        <f t="shared" si="61"/>
        <v>2014</v>
      </c>
      <c r="O27" s="2">
        <f t="shared" si="32"/>
        <v>4818.9986320919761</v>
      </c>
      <c r="P27" s="2"/>
      <c r="Q27" s="2"/>
      <c r="R27">
        <f t="shared" si="39"/>
        <v>2014</v>
      </c>
      <c r="S27" s="2">
        <f t="shared" si="40"/>
        <v>22125.623348980425</v>
      </c>
      <c r="T27" s="2"/>
      <c r="U27" s="2">
        <f t="shared" si="41"/>
        <v>24944.748749537463</v>
      </c>
      <c r="V27" s="2">
        <f t="shared" si="42"/>
        <v>6478.4600937200803</v>
      </c>
      <c r="W27" s="2"/>
      <c r="X27" s="2">
        <f t="shared" si="43"/>
        <v>13347.839572913586</v>
      </c>
      <c r="Y27" s="2">
        <f t="shared" si="44"/>
        <v>35579.706660596494</v>
      </c>
      <c r="Z27" s="2">
        <f t="shared" si="45"/>
        <v>102476.37842574804</v>
      </c>
      <c r="AA27" s="2">
        <f t="shared" si="46"/>
        <v>2898.2704908765008</v>
      </c>
      <c r="AB27" s="6">
        <f t="shared" si="47"/>
        <v>2.9105498698289156E-2</v>
      </c>
      <c r="AC27" s="7">
        <f t="shared" si="48"/>
        <v>1.0291054986982893</v>
      </c>
      <c r="AD27" s="2">
        <f t="shared" si="49"/>
        <v>0</v>
      </c>
      <c r="AE27" s="2"/>
      <c r="AG27">
        <f t="shared" si="50"/>
        <v>2014</v>
      </c>
      <c r="AH27" s="6">
        <f t="shared" si="51"/>
        <v>0.21590949728002076</v>
      </c>
      <c r="AI27" s="6"/>
      <c r="AJ27" s="6">
        <f t="shared" si="52"/>
        <v>0.24341949952507189</v>
      </c>
      <c r="AK27" s="6">
        <f t="shared" si="53"/>
        <v>6.3219057828182518E-2</v>
      </c>
      <c r="AL27" s="7"/>
      <c r="AM27" s="6">
        <f t="shared" si="54"/>
        <v>0.13025284244002744</v>
      </c>
      <c r="AN27" s="6">
        <f t="shared" si="55"/>
        <v>0.34719910292669748</v>
      </c>
      <c r="AO27" s="20">
        <f t="shared" si="56"/>
        <v>1</v>
      </c>
      <c r="AP27" s="22"/>
    </row>
    <row r="28" spans="1:42" x14ac:dyDescent="0.55000000000000004">
      <c r="A28">
        <f t="shared" ref="A28:A29" si="62">A12</f>
        <v>2015</v>
      </c>
      <c r="B28" s="2">
        <f t="shared" ref="B28:B29" si="63">S27*(1+(B12/100))</f>
        <v>22402.193640842681</v>
      </c>
      <c r="C28" s="2"/>
      <c r="D28" s="2">
        <f t="shared" ref="D28:E28" si="64">U27*(1+(D12/100))</f>
        <v>24580.555417794218</v>
      </c>
      <c r="E28" s="2">
        <f t="shared" si="64"/>
        <v>6233.5743021774606</v>
      </c>
      <c r="F28" s="2"/>
      <c r="G28" s="2">
        <f t="shared" ref="G28:H28" si="65">X27*(1+(G12/100))</f>
        <v>12764.538983577264</v>
      </c>
      <c r="H28" s="2">
        <f t="shared" si="65"/>
        <v>35686.44578057828</v>
      </c>
      <c r="I28" s="2">
        <f t="shared" ref="I28:I29" si="66">SUM(B28:H28)</f>
        <v>101667.30812496989</v>
      </c>
      <c r="J28" s="2">
        <f t="shared" ref="J28:J29" si="67">I28-I27</f>
        <v>-5628.0689328701264</v>
      </c>
      <c r="K28" s="6">
        <f t="shared" ref="K28:K29" si="68">(J28/I27)</f>
        <v>-5.2453974133817416E-2</v>
      </c>
      <c r="L28" s="7">
        <f t="shared" ref="L28:L29" si="69">K28+1</f>
        <v>0.94754602586618253</v>
      </c>
      <c r="N28">
        <f t="shared" ref="N28:N29" si="70">A28</f>
        <v>2015</v>
      </c>
      <c r="O28" s="2">
        <f t="shared" ref="O28:O29" si="71">O27*(1+O12)</f>
        <v>4840.202226073181</v>
      </c>
      <c r="P28" s="2"/>
      <c r="Q28" s="2"/>
      <c r="R28">
        <f t="shared" ref="R28:R29" si="72">A28</f>
        <v>2015</v>
      </c>
      <c r="S28" s="2">
        <f t="shared" ref="S28:S29" si="73">B28-($O28/5)</f>
        <v>21434.153195628045</v>
      </c>
      <c r="T28" s="2"/>
      <c r="U28" s="2">
        <f t="shared" ref="U28:U29" si="74">D28-($O28/5)</f>
        <v>23612.514972579582</v>
      </c>
      <c r="V28" s="2">
        <f t="shared" ref="V28:V29" si="75">E28-($O28/5)</f>
        <v>5265.5338569628248</v>
      </c>
      <c r="W28" s="2"/>
      <c r="X28" s="2">
        <f t="shared" ref="X28:X29" si="76">G28-($O28/5)</f>
        <v>11796.498538362628</v>
      </c>
      <c r="Y28" s="2">
        <f t="shared" ref="Y28:Y29" si="77">H28-($O28/5)</f>
        <v>34718.405335363641</v>
      </c>
      <c r="Z28" s="2">
        <f t="shared" ref="Z28:Z29" si="78">SUM(S28:Y28)</f>
        <v>96827.105898896727</v>
      </c>
      <c r="AA28" s="2">
        <f t="shared" ref="AA28:AA29" si="79">Z28-Z27</f>
        <v>-5649.2725268513168</v>
      </c>
      <c r="AB28" s="6">
        <f t="shared" ref="AB28:AB29" si="80">(AA28/Z27)</f>
        <v>-5.5127558307933824E-2</v>
      </c>
      <c r="AC28" s="7">
        <f t="shared" ref="AC28:AC29" si="81">AB28+1</f>
        <v>0.94487244169206619</v>
      </c>
      <c r="AD28" s="2">
        <f t="shared" ref="AD28:AD29" si="82">Z28-(I28-O28)</f>
        <v>0</v>
      </c>
      <c r="AE28" s="2"/>
      <c r="AG28">
        <f t="shared" ref="AG28:AG29" si="83">A28</f>
        <v>2015</v>
      </c>
      <c r="AH28" s="6">
        <f t="shared" ref="AH28:AH29" si="84">S28/$Z28</f>
        <v>0.22136521583128585</v>
      </c>
      <c r="AI28" s="6"/>
      <c r="AJ28" s="6">
        <f t="shared" ref="AJ28:AJ29" si="85">U28/$Z28</f>
        <v>0.24386265347262256</v>
      </c>
      <c r="AK28" s="6">
        <f t="shared" ref="AK28:AK29" si="86">V28/$Z28</f>
        <v>5.4380783232960611E-2</v>
      </c>
      <c r="AL28" s="7"/>
      <c r="AM28" s="6">
        <f t="shared" ref="AM28:AM29" si="87">X28/$Z28</f>
        <v>0.12183053938098795</v>
      </c>
      <c r="AN28" s="6">
        <f t="shared" ref="AN28:AN29" si="88">Y28/$Z28</f>
        <v>0.35856080808214297</v>
      </c>
      <c r="AO28" s="20">
        <f t="shared" ref="AO28:AO29" si="89">SUM(AH28:AN28)</f>
        <v>1</v>
      </c>
      <c r="AP28" s="22"/>
    </row>
    <row r="29" spans="1:42" x14ac:dyDescent="0.55000000000000004">
      <c r="A29">
        <f t="shared" si="62"/>
        <v>2016</v>
      </c>
      <c r="B29" s="2">
        <f t="shared" si="63"/>
        <v>23967.67010335128</v>
      </c>
      <c r="C29" s="2"/>
      <c r="D29" s="2">
        <f t="shared" ref="D29:E29" si="90">U28*(1+(D13/100))</f>
        <v>26226.420380044143</v>
      </c>
      <c r="E29" s="2">
        <f t="shared" si="90"/>
        <v>6222.2813587729697</v>
      </c>
      <c r="F29" s="2"/>
      <c r="G29" s="2">
        <f t="shared" ref="G29:H29" si="91">X28*(1+(G13/100))</f>
        <v>12345.03572039649</v>
      </c>
      <c r="H29" s="2">
        <f t="shared" si="91"/>
        <v>35586.365468747732</v>
      </c>
      <c r="I29" s="2">
        <f t="shared" si="66"/>
        <v>104347.77303131262</v>
      </c>
      <c r="J29" s="2">
        <f t="shared" si="67"/>
        <v>2680.464906342735</v>
      </c>
      <c r="K29" s="6">
        <f t="shared" si="68"/>
        <v>2.6365062238570301E-2</v>
      </c>
      <c r="L29" s="7">
        <f t="shared" si="69"/>
        <v>1.0263650622385703</v>
      </c>
      <c r="N29">
        <f t="shared" si="70"/>
        <v>2016</v>
      </c>
      <c r="O29" s="2">
        <f t="shared" si="71"/>
        <v>4922.4856639164245</v>
      </c>
      <c r="P29" s="2"/>
      <c r="Q29" s="2"/>
      <c r="R29">
        <f t="shared" si="72"/>
        <v>2016</v>
      </c>
      <c r="S29" s="2">
        <f t="shared" si="73"/>
        <v>22983.172970567994</v>
      </c>
      <c r="T29" s="2"/>
      <c r="U29" s="2">
        <f t="shared" si="74"/>
        <v>25241.923247260856</v>
      </c>
      <c r="V29" s="2">
        <f t="shared" si="75"/>
        <v>5237.7842259896852</v>
      </c>
      <c r="W29" s="2"/>
      <c r="X29" s="2">
        <f t="shared" si="76"/>
        <v>11360.538587613206</v>
      </c>
      <c r="Y29" s="2">
        <f t="shared" si="77"/>
        <v>34601.868335964449</v>
      </c>
      <c r="Z29" s="2">
        <f t="shared" si="78"/>
        <v>99425.287367396188</v>
      </c>
      <c r="AA29" s="2">
        <f t="shared" si="79"/>
        <v>2598.1814684994606</v>
      </c>
      <c r="AB29" s="6">
        <f t="shared" si="80"/>
        <v>2.6833203826337484E-2</v>
      </c>
      <c r="AC29" s="7">
        <f t="shared" si="81"/>
        <v>1.0268332038263375</v>
      </c>
      <c r="AD29" s="2">
        <f t="shared" si="82"/>
        <v>0</v>
      </c>
      <c r="AE29" s="2"/>
      <c r="AG29">
        <f t="shared" si="83"/>
        <v>2016</v>
      </c>
      <c r="AH29" s="6">
        <f t="shared" si="84"/>
        <v>0.23116023678805778</v>
      </c>
      <c r="AI29" s="6"/>
      <c r="AJ29" s="6">
        <f t="shared" si="85"/>
        <v>0.25387830315226484</v>
      </c>
      <c r="AK29" s="6">
        <f t="shared" si="86"/>
        <v>5.2680604348016941E-2</v>
      </c>
      <c r="AL29" s="7"/>
      <c r="AM29" s="6">
        <f t="shared" si="87"/>
        <v>0.11426206439448104</v>
      </c>
      <c r="AN29" s="6">
        <f t="shared" si="88"/>
        <v>0.34801879131717944</v>
      </c>
      <c r="AO29" s="20">
        <f t="shared" si="89"/>
        <v>1</v>
      </c>
      <c r="AP29" s="22"/>
    </row>
    <row r="30" spans="1:42" x14ac:dyDescent="0.55000000000000004">
      <c r="A30" s="9" t="s">
        <v>46</v>
      </c>
      <c r="B30" s="10">
        <f>S29</f>
        <v>22983.172970567994</v>
      </c>
      <c r="C30" s="10"/>
      <c r="D30" s="10">
        <f>U29</f>
        <v>25241.923247260856</v>
      </c>
      <c r="E30" s="10">
        <f>V29</f>
        <v>5237.7842259896852</v>
      </c>
      <c r="F30" s="10"/>
      <c r="G30" s="10">
        <f>X29</f>
        <v>11360.538587613206</v>
      </c>
      <c r="H30" s="10">
        <f>Y29</f>
        <v>34601.868335964449</v>
      </c>
      <c r="I30" s="10">
        <f>SUM(B30:H30)</f>
        <v>99425.287367396188</v>
      </c>
      <c r="J30" s="10"/>
      <c r="K30" s="10"/>
      <c r="N30" t="s">
        <v>79</v>
      </c>
      <c r="O30" s="2">
        <f>O29</f>
        <v>4922.4856639164245</v>
      </c>
      <c r="P30" s="2"/>
      <c r="R30" s="9" t="s">
        <v>46</v>
      </c>
      <c r="S30" s="10">
        <f>S29</f>
        <v>22983.172970567994</v>
      </c>
      <c r="T30" s="10"/>
      <c r="U30" s="10">
        <f>U29</f>
        <v>25241.923247260856</v>
      </c>
      <c r="V30" s="10">
        <f>V29</f>
        <v>5237.7842259896852</v>
      </c>
      <c r="W30" s="10"/>
      <c r="X30" s="10">
        <f>X29</f>
        <v>11360.538587613206</v>
      </c>
      <c r="Y30" s="10">
        <f>Y29</f>
        <v>34601.868335964449</v>
      </c>
      <c r="Z30" s="10">
        <f>Z29</f>
        <v>99425.287367396188</v>
      </c>
      <c r="AA30" s="40"/>
      <c r="AB30" s="40"/>
      <c r="AC30" s="40"/>
      <c r="AD30" s="40"/>
      <c r="AE30" s="40"/>
      <c r="AH30" s="6"/>
      <c r="AK30" s="7"/>
      <c r="AN30" s="6"/>
    </row>
    <row r="31" spans="1:42" x14ac:dyDescent="0.55000000000000004">
      <c r="A31" s="11" t="s">
        <v>95</v>
      </c>
      <c r="I31" s="6">
        <f>(Z30-Z19)/Z19</f>
        <v>-5.7471263260381236E-3</v>
      </c>
      <c r="K31" s="6"/>
      <c r="N31" t="s">
        <v>38</v>
      </c>
      <c r="O31" s="2">
        <f>SUM(O20:O29)</f>
        <v>46178.116777487026</v>
      </c>
      <c r="P31" s="2"/>
    </row>
    <row r="32" spans="1:42" x14ac:dyDescent="0.55000000000000004">
      <c r="A32" s="1" t="s">
        <v>96</v>
      </c>
      <c r="I32" s="12">
        <f>STDEV(AC20:AC27)</f>
        <v>0.14390597204642941</v>
      </c>
    </row>
    <row r="33" spans="1:16" x14ac:dyDescent="0.55000000000000004">
      <c r="A33" s="1" t="s">
        <v>97</v>
      </c>
      <c r="I33" s="13">
        <f>((1+I31)^(1/I40))-1</f>
        <v>-5.7620439099015375E-4</v>
      </c>
    </row>
    <row r="34" spans="1:16" x14ac:dyDescent="0.55000000000000004">
      <c r="A34" s="1" t="s">
        <v>50</v>
      </c>
      <c r="I34" s="27">
        <f>J21</f>
        <v>-31867.716366959998</v>
      </c>
      <c r="O34" s="2"/>
      <c r="P34" s="2"/>
    </row>
    <row r="35" spans="1:16" x14ac:dyDescent="0.55000000000000004">
      <c r="A35" s="1" t="s">
        <v>51</v>
      </c>
      <c r="I35" s="28">
        <f>K21</f>
        <v>-0.2962283842540589</v>
      </c>
    </row>
    <row r="36" spans="1:16" x14ac:dyDescent="0.55000000000000004">
      <c r="A36" s="1" t="s">
        <v>81</v>
      </c>
      <c r="I36" s="2">
        <f>O31</f>
        <v>46178.116777487026</v>
      </c>
    </row>
    <row r="37" spans="1:16" x14ac:dyDescent="0.55000000000000004">
      <c r="A37" s="3" t="s">
        <v>52</v>
      </c>
      <c r="I37" s="29">
        <f>I30-Z29</f>
        <v>0</v>
      </c>
    </row>
    <row r="38" spans="1:16" x14ac:dyDescent="0.55000000000000004">
      <c r="A38" s="3" t="s">
        <v>147</v>
      </c>
      <c r="I38" s="29">
        <f>((SUM(AA20:AA29)))-(I30-I19)</f>
        <v>0</v>
      </c>
    </row>
    <row r="39" spans="1:16" x14ac:dyDescent="0.55000000000000004">
      <c r="A39" s="3" t="s">
        <v>148</v>
      </c>
      <c r="I39" s="29">
        <f>(SUM(O20:O29))-I36</f>
        <v>0</v>
      </c>
    </row>
    <row r="40" spans="1:16" x14ac:dyDescent="0.55000000000000004">
      <c r="A40" s="3" t="s">
        <v>154</v>
      </c>
      <c r="I40" s="3">
        <f>COUNTA(I20:I29)</f>
        <v>10</v>
      </c>
    </row>
  </sheetData>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42"/>
  <sheetViews>
    <sheetView topLeftCell="A9" zoomScaleNormal="100" workbookViewId="0">
      <selection activeCell="I33" sqref="I33"/>
    </sheetView>
  </sheetViews>
  <sheetFormatPr defaultColWidth="8.83984375" defaultRowHeight="14.4" x14ac:dyDescent="0.55000000000000004"/>
  <cols>
    <col min="1" max="1" width="25.41796875" customWidth="1"/>
    <col min="9" max="9" width="11.68359375" customWidth="1"/>
    <col min="10" max="10" width="10" bestFit="1" customWidth="1"/>
    <col min="11" max="12" width="0" hidden="1" customWidth="1"/>
    <col min="15" max="15" width="9.83984375" bestFit="1" customWidth="1"/>
    <col min="16" max="16" width="9.83984375" customWidth="1"/>
    <col min="18" max="18" width="9.15625" customWidth="1"/>
    <col min="19" max="19" width="10.83984375" bestFit="1" customWidth="1"/>
    <col min="21" max="21" width="11.83984375" bestFit="1" customWidth="1"/>
    <col min="26" max="26" width="10.83984375" bestFit="1" customWidth="1"/>
    <col min="27" max="27" width="10" bestFit="1" customWidth="1"/>
    <col min="30" max="31" width="10.83984375" customWidth="1"/>
    <col min="54" max="54" width="10.83984375" bestFit="1" customWidth="1"/>
    <col min="61" max="61" width="9.26171875" bestFit="1" customWidth="1"/>
  </cols>
  <sheetData>
    <row r="1" spans="1:53" x14ac:dyDescent="0.55000000000000004">
      <c r="A1" s="18" t="s">
        <v>19</v>
      </c>
      <c r="N1" s="18" t="s">
        <v>144</v>
      </c>
    </row>
    <row r="2" spans="1:53" x14ac:dyDescent="0.55000000000000004">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53" x14ac:dyDescent="0.55000000000000004">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53" x14ac:dyDescent="0.55000000000000004">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53" x14ac:dyDescent="0.55000000000000004">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53" x14ac:dyDescent="0.55000000000000004">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53" x14ac:dyDescent="0.55000000000000004">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53" x14ac:dyDescent="0.55000000000000004">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53" x14ac:dyDescent="0.55000000000000004">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53" x14ac:dyDescent="0.55000000000000004">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53" x14ac:dyDescent="0.55000000000000004">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53" x14ac:dyDescent="0.55000000000000004">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3" spans="1:53" x14ac:dyDescent="0.55000000000000004">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 Withdrawals-No Rebalancing'!N13</f>
        <v>2016</v>
      </c>
      <c r="O13" s="47">
        <f>'4% Withdrawals-No Rebalancing'!O13</f>
        <v>1.7000000000000001E-2</v>
      </c>
      <c r="P13" s="41"/>
    </row>
    <row r="16" spans="1:53" x14ac:dyDescent="0.55000000000000004">
      <c r="A16" s="18" t="s">
        <v>113</v>
      </c>
      <c r="N16" s="18" t="s">
        <v>67</v>
      </c>
      <c r="R16" s="18" t="s">
        <v>114</v>
      </c>
      <c r="AG16" s="18" t="s">
        <v>115</v>
      </c>
      <c r="AQ16" s="18" t="s">
        <v>69</v>
      </c>
      <c r="BA16" s="18" t="s">
        <v>116</v>
      </c>
    </row>
    <row r="17" spans="1:63" x14ac:dyDescent="0.55000000000000004">
      <c r="B17" s="4" t="str">
        <f t="shared" ref="B17:H18" si="0">B2</f>
        <v>LC Stocks</v>
      </c>
      <c r="C17" s="4" t="str">
        <f t="shared" si="0"/>
        <v>Ext Mkt</v>
      </c>
      <c r="D17" s="4" t="str">
        <f t="shared" si="0"/>
        <v>Mcap Stk</v>
      </c>
      <c r="E17" s="4" t="str">
        <f t="shared" si="0"/>
        <v>Small Cap</v>
      </c>
      <c r="F17" s="4" t="str">
        <f t="shared" si="0"/>
        <v>Intl Val</v>
      </c>
      <c r="G17" s="4" t="str">
        <f t="shared" si="0"/>
        <v>Tot Int Stk</v>
      </c>
      <c r="H17" s="4" t="str">
        <f t="shared" si="0"/>
        <v>Bonds</v>
      </c>
      <c r="I17" s="5"/>
      <c r="J17" s="5" t="s">
        <v>44</v>
      </c>
      <c r="K17" s="5" t="s">
        <v>41</v>
      </c>
      <c r="L17" s="5" t="s">
        <v>42</v>
      </c>
      <c r="S17" s="4" t="str">
        <f t="shared" ref="S17:Y19" si="1">B17</f>
        <v>LC Stocks</v>
      </c>
      <c r="T17" s="4" t="str">
        <f t="shared" si="1"/>
        <v>Ext Mkt</v>
      </c>
      <c r="U17" s="4" t="str">
        <f t="shared" si="1"/>
        <v>Mcap Stk</v>
      </c>
      <c r="V17" s="4" t="str">
        <f t="shared" si="1"/>
        <v>Small Cap</v>
      </c>
      <c r="W17" s="4" t="str">
        <f t="shared" si="1"/>
        <v>Intl Val</v>
      </c>
      <c r="X17" s="4" t="str">
        <f t="shared" si="1"/>
        <v>Tot Int Stk</v>
      </c>
      <c r="Y17" s="4" t="str">
        <f t="shared" si="1"/>
        <v>Bonds</v>
      </c>
      <c r="Z17" s="5"/>
      <c r="AA17" s="5" t="s">
        <v>44</v>
      </c>
      <c r="AB17" s="5" t="s">
        <v>41</v>
      </c>
      <c r="AC17" s="5" t="s">
        <v>42</v>
      </c>
      <c r="AD17" s="5" t="s">
        <v>56</v>
      </c>
      <c r="AE17" s="5"/>
      <c r="AH17" s="4" t="str">
        <f t="shared" ref="AH17:AN18" si="2">B17</f>
        <v>LC Stocks</v>
      </c>
      <c r="AI17" s="4" t="str">
        <f t="shared" si="2"/>
        <v>Ext Mkt</v>
      </c>
      <c r="AJ17" s="4" t="str">
        <f t="shared" si="2"/>
        <v>Mcap Stk</v>
      </c>
      <c r="AK17" s="4" t="str">
        <f t="shared" si="2"/>
        <v>Small Cap</v>
      </c>
      <c r="AL17" s="4" t="str">
        <f t="shared" si="2"/>
        <v>Intl Val</v>
      </c>
      <c r="AM17" s="4" t="str">
        <f t="shared" si="2"/>
        <v>Tot Int Stk</v>
      </c>
      <c r="AN17" s="4" t="str">
        <f t="shared" si="2"/>
        <v>Bonds</v>
      </c>
      <c r="AO17" s="5"/>
      <c r="AR17" s="4" t="str">
        <f>AH17</f>
        <v>LC Stocks</v>
      </c>
      <c r="AS17" s="4" t="str">
        <f t="shared" ref="AS17:AY19" si="3">AI17</f>
        <v>Ext Mkt</v>
      </c>
      <c r="AT17" s="4" t="str">
        <f t="shared" si="3"/>
        <v>Mcap Stk</v>
      </c>
      <c r="AU17" s="4" t="str">
        <f t="shared" si="3"/>
        <v>Small Cap</v>
      </c>
      <c r="AV17" s="4" t="str">
        <f t="shared" si="3"/>
        <v>Intl Val</v>
      </c>
      <c r="AW17" s="4" t="str">
        <f t="shared" si="3"/>
        <v>Tot Int Stk</v>
      </c>
      <c r="AX17" s="4" t="str">
        <f t="shared" si="3"/>
        <v>Bonds</v>
      </c>
      <c r="AY17" s="5"/>
      <c r="BB17" s="4" t="str">
        <f>AR17</f>
        <v>LC Stocks</v>
      </c>
      <c r="BC17" s="4" t="str">
        <f t="shared" ref="BC17:BI19" si="4">AS17</f>
        <v>Ext Mkt</v>
      </c>
      <c r="BD17" s="4" t="str">
        <f t="shared" si="4"/>
        <v>Mcap Stk</v>
      </c>
      <c r="BE17" s="4" t="str">
        <f t="shared" si="4"/>
        <v>Small Cap</v>
      </c>
      <c r="BF17" s="4" t="str">
        <f t="shared" si="4"/>
        <v>Intl Val</v>
      </c>
      <c r="BG17" s="4" t="str">
        <f t="shared" si="4"/>
        <v>Tot Int Stk</v>
      </c>
      <c r="BH17" s="4" t="str">
        <f t="shared" si="4"/>
        <v>Bonds</v>
      </c>
      <c r="BI17" s="4"/>
      <c r="BJ17" t="s">
        <v>56</v>
      </c>
    </row>
    <row r="18" spans="1:63" x14ac:dyDescent="0.55000000000000004">
      <c r="A18" t="s">
        <v>40</v>
      </c>
      <c r="B18" s="4" t="str">
        <f t="shared" si="0"/>
        <v>VFINX</v>
      </c>
      <c r="C18" s="4" t="str">
        <f t="shared" si="0"/>
        <v>VEXMX</v>
      </c>
      <c r="D18" s="4" t="str">
        <f t="shared" si="0"/>
        <v>VIMSX</v>
      </c>
      <c r="E18" s="4" t="str">
        <f t="shared" si="0"/>
        <v>NAESX</v>
      </c>
      <c r="F18" s="4" t="str">
        <f t="shared" si="0"/>
        <v>VTRIX</v>
      </c>
      <c r="G18" s="4" t="str">
        <f t="shared" si="0"/>
        <v>VGTSX</v>
      </c>
      <c r="H18" s="4" t="str">
        <f t="shared" si="0"/>
        <v>VBMFX</v>
      </c>
      <c r="I18" s="5" t="s">
        <v>38</v>
      </c>
      <c r="J18" s="5" t="s">
        <v>45</v>
      </c>
      <c r="K18" s="5" t="s">
        <v>43</v>
      </c>
      <c r="L18" s="5" t="s">
        <v>43</v>
      </c>
      <c r="R18" t="str">
        <f t="shared" ref="R18:R24" si="5">A18</f>
        <v>Fund</v>
      </c>
      <c r="S18" s="4" t="str">
        <f t="shared" si="1"/>
        <v>VFINX</v>
      </c>
      <c r="T18" s="4" t="str">
        <f t="shared" si="1"/>
        <v>VEXMX</v>
      </c>
      <c r="U18" s="4" t="str">
        <f t="shared" si="1"/>
        <v>VIMSX</v>
      </c>
      <c r="V18" s="4" t="str">
        <f t="shared" si="1"/>
        <v>NAESX</v>
      </c>
      <c r="W18" s="4" t="str">
        <f t="shared" si="1"/>
        <v>VTRIX</v>
      </c>
      <c r="X18" s="4" t="str">
        <f t="shared" si="1"/>
        <v>VGTSX</v>
      </c>
      <c r="Y18" s="4" t="str">
        <f t="shared" si="1"/>
        <v>VBMFX</v>
      </c>
      <c r="Z18" s="5" t="str">
        <f t="shared" ref="Z18:Z19" si="6">I18</f>
        <v>Total</v>
      </c>
      <c r="AA18" s="5" t="s">
        <v>45</v>
      </c>
      <c r="AB18" s="5" t="s">
        <v>43</v>
      </c>
      <c r="AC18" s="5" t="s">
        <v>43</v>
      </c>
      <c r="AD18" s="5" t="s">
        <v>55</v>
      </c>
      <c r="AE18" s="5"/>
      <c r="AG18" t="s">
        <v>40</v>
      </c>
      <c r="AH18" s="4" t="str">
        <f t="shared" si="2"/>
        <v>VFINX</v>
      </c>
      <c r="AI18" s="4" t="str">
        <f t="shared" si="2"/>
        <v>VEXMX</v>
      </c>
      <c r="AJ18" s="4" t="str">
        <f t="shared" si="2"/>
        <v>VIMSX</v>
      </c>
      <c r="AK18" s="4" t="str">
        <f t="shared" si="2"/>
        <v>NAESX</v>
      </c>
      <c r="AL18" s="4" t="str">
        <f t="shared" si="2"/>
        <v>VTRIX</v>
      </c>
      <c r="AM18" s="4" t="str">
        <f t="shared" si="2"/>
        <v>VGTSX</v>
      </c>
      <c r="AN18" s="4" t="str">
        <f t="shared" si="2"/>
        <v>VBMFX</v>
      </c>
      <c r="AO18" s="5" t="s">
        <v>38</v>
      </c>
      <c r="AQ18" t="str">
        <f>AG18</f>
        <v>Fund</v>
      </c>
      <c r="AR18" s="4" t="str">
        <f>AH18</f>
        <v>VFINX</v>
      </c>
      <c r="AS18" s="4" t="str">
        <f t="shared" si="3"/>
        <v>VEXMX</v>
      </c>
      <c r="AT18" s="4" t="str">
        <f t="shared" si="3"/>
        <v>VIMSX</v>
      </c>
      <c r="AU18" s="4" t="str">
        <f t="shared" si="3"/>
        <v>NAESX</v>
      </c>
      <c r="AV18" s="4" t="str">
        <f t="shared" si="3"/>
        <v>VTRIX</v>
      </c>
      <c r="AW18" s="4" t="str">
        <f t="shared" si="3"/>
        <v>VGTSX</v>
      </c>
      <c r="AX18" s="4" t="str">
        <f t="shared" si="3"/>
        <v>VBMFX</v>
      </c>
      <c r="AY18" s="4" t="str">
        <f t="shared" si="3"/>
        <v>Total</v>
      </c>
      <c r="BA18" t="s">
        <v>40</v>
      </c>
      <c r="BB18" s="4" t="str">
        <f>AR18</f>
        <v>VFINX</v>
      </c>
      <c r="BC18" s="4" t="str">
        <f t="shared" si="4"/>
        <v>VEXMX</v>
      </c>
      <c r="BD18" s="4" t="str">
        <f t="shared" si="4"/>
        <v>VIMSX</v>
      </c>
      <c r="BE18" s="4" t="str">
        <f t="shared" si="4"/>
        <v>NAESX</v>
      </c>
      <c r="BF18" s="4" t="str">
        <f t="shared" si="4"/>
        <v>VTRIX</v>
      </c>
      <c r="BG18" s="4" t="str">
        <f t="shared" si="4"/>
        <v>VGTSX</v>
      </c>
      <c r="BH18" s="4" t="str">
        <f t="shared" si="4"/>
        <v>VBMFX</v>
      </c>
      <c r="BI18" s="4" t="str">
        <f t="shared" si="4"/>
        <v>Total</v>
      </c>
      <c r="BJ18" t="s">
        <v>55</v>
      </c>
    </row>
    <row r="19" spans="1:63" x14ac:dyDescent="0.55000000000000004">
      <c r="A19" t="s">
        <v>39</v>
      </c>
      <c r="B19" s="2">
        <f>'Non-Rebalanced Strategy'!B19</f>
        <v>20000</v>
      </c>
      <c r="C19" s="2"/>
      <c r="D19" s="2">
        <f>'Non-Rebalanced Strategy'!D19</f>
        <v>20000</v>
      </c>
      <c r="E19" s="2">
        <f>'Non-Rebalanced Strategy'!E19</f>
        <v>10000</v>
      </c>
      <c r="F19" s="2"/>
      <c r="G19" s="2">
        <f>'Non-Rebalanced Strategy'!G19</f>
        <v>20000</v>
      </c>
      <c r="H19" s="2">
        <f>'Non-Rebalanced Strategy'!H19</f>
        <v>30000</v>
      </c>
      <c r="I19" s="2">
        <f t="shared" ref="I19:I30" si="7">SUM(B19:H19)</f>
        <v>100000</v>
      </c>
      <c r="N19" s="19"/>
      <c r="R19" t="str">
        <f t="shared" si="5"/>
        <v>Stating Balance</v>
      </c>
      <c r="S19" s="2">
        <f t="shared" si="1"/>
        <v>20000</v>
      </c>
      <c r="T19" s="2">
        <f t="shared" si="1"/>
        <v>0</v>
      </c>
      <c r="U19" s="2">
        <f t="shared" si="1"/>
        <v>20000</v>
      </c>
      <c r="V19" s="2">
        <f t="shared" si="1"/>
        <v>10000</v>
      </c>
      <c r="W19" s="2">
        <f t="shared" si="1"/>
        <v>0</v>
      </c>
      <c r="X19" s="2">
        <f t="shared" si="1"/>
        <v>20000</v>
      </c>
      <c r="Y19" s="2">
        <f t="shared" si="1"/>
        <v>30000</v>
      </c>
      <c r="Z19" s="2">
        <f t="shared" si="6"/>
        <v>100000</v>
      </c>
      <c r="AD19" s="2"/>
      <c r="AE19" s="2"/>
      <c r="AG19" s="19" t="s">
        <v>54</v>
      </c>
      <c r="AH19" s="6">
        <f t="shared" ref="AH19:AM24" si="8">S19/$Z19</f>
        <v>0.2</v>
      </c>
      <c r="AI19" s="6"/>
      <c r="AJ19" s="6">
        <f t="shared" si="8"/>
        <v>0.2</v>
      </c>
      <c r="AK19" s="6">
        <f t="shared" si="8"/>
        <v>0.1</v>
      </c>
      <c r="AL19" s="6"/>
      <c r="AM19" s="6">
        <f t="shared" si="8"/>
        <v>0.2</v>
      </c>
      <c r="AN19" s="6">
        <f>Y19/$Z19</f>
        <v>0.3</v>
      </c>
      <c r="AO19" s="6">
        <f>Z19/$Z19</f>
        <v>1</v>
      </c>
      <c r="AP19" s="22"/>
      <c r="AQ19" s="19" t="str">
        <f>AG19</f>
        <v>Target Allocation</v>
      </c>
      <c r="AR19" s="22">
        <f>AH19</f>
        <v>0.2</v>
      </c>
      <c r="AS19" s="22">
        <f t="shared" si="3"/>
        <v>0</v>
      </c>
      <c r="AT19" s="22">
        <f>AJ19</f>
        <v>0.2</v>
      </c>
      <c r="AU19" s="22">
        <f>AK19</f>
        <v>0.1</v>
      </c>
      <c r="AV19" s="22"/>
      <c r="AW19" s="22">
        <f>AM19</f>
        <v>0.2</v>
      </c>
      <c r="AX19" s="22">
        <f>AN19</f>
        <v>0.3</v>
      </c>
      <c r="AY19" s="22">
        <f t="shared" si="3"/>
        <v>1</v>
      </c>
      <c r="BA19" s="19" t="str">
        <f>AQ19</f>
        <v>Target Allocation</v>
      </c>
      <c r="BB19" s="22">
        <f>AR19</f>
        <v>0.2</v>
      </c>
      <c r="BC19" s="22"/>
      <c r="BD19" s="22">
        <f>AT19</f>
        <v>0.2</v>
      </c>
      <c r="BE19" s="22">
        <f>AU19</f>
        <v>0.1</v>
      </c>
      <c r="BF19" s="22"/>
      <c r="BG19" s="22">
        <f>AW19</f>
        <v>0.2</v>
      </c>
      <c r="BH19" s="22">
        <f t="shared" si="4"/>
        <v>0.3</v>
      </c>
      <c r="BI19" s="22">
        <f t="shared" si="4"/>
        <v>1</v>
      </c>
      <c r="BJ19" s="2"/>
    </row>
    <row r="20" spans="1:63" x14ac:dyDescent="0.55000000000000004">
      <c r="A20">
        <f t="shared" ref="A20:A27" si="9">A4</f>
        <v>2007</v>
      </c>
      <c r="B20" s="2">
        <f>B19*(1+(B4/100))</f>
        <v>21078</v>
      </c>
      <c r="C20" s="2"/>
      <c r="D20" s="2">
        <f>D19*(1+(D4/100))</f>
        <v>21204.2</v>
      </c>
      <c r="E20" s="2">
        <f>E19*(1+(E4/100))</f>
        <v>10115.6</v>
      </c>
      <c r="F20" s="2"/>
      <c r="G20" s="2">
        <f>G19*(1+(G4/100))</f>
        <v>23104.399999999998</v>
      </c>
      <c r="H20" s="2">
        <f>H19*(1+(H4/100))</f>
        <v>32075.999999999996</v>
      </c>
      <c r="I20" s="2">
        <f t="shared" si="7"/>
        <v>107578.2</v>
      </c>
      <c r="J20" s="2">
        <f>I20-I19</f>
        <v>7578.1999999999971</v>
      </c>
      <c r="K20" s="6" t="e">
        <f>(J20/#REF!)</f>
        <v>#REF!</v>
      </c>
      <c r="L20" s="7" t="e">
        <f t="shared" ref="L20:L25" si="10">K20+1</f>
        <v>#REF!</v>
      </c>
      <c r="N20">
        <f t="shared" ref="N20:N25" si="11">A20</f>
        <v>2007</v>
      </c>
      <c r="O20" s="2">
        <f>I20*0.04</f>
        <v>4303.1279999999997</v>
      </c>
      <c r="P20" s="2"/>
      <c r="Q20" s="2"/>
      <c r="R20">
        <f t="shared" si="5"/>
        <v>2007</v>
      </c>
      <c r="S20" s="2">
        <f t="shared" ref="S20:S24" si="12">B20-($O20/5)</f>
        <v>20217.374400000001</v>
      </c>
      <c r="T20" s="2"/>
      <c r="U20" s="2">
        <f t="shared" ref="U20:V24" si="13">D20-($O20/5)</f>
        <v>20343.574400000001</v>
      </c>
      <c r="V20" s="2">
        <f t="shared" si="13"/>
        <v>9254.974400000001</v>
      </c>
      <c r="W20" s="2"/>
      <c r="X20" s="2">
        <f t="shared" ref="X20:Y24" si="14">G20-($O20/5)</f>
        <v>22243.774399999998</v>
      </c>
      <c r="Y20" s="2">
        <f t="shared" si="14"/>
        <v>31215.374399999997</v>
      </c>
      <c r="Z20" s="2">
        <f t="shared" ref="Z20:Z24" si="15">SUM(S20:Y20)</f>
        <v>103275.072</v>
      </c>
      <c r="AA20" s="2">
        <f>Z20-Z19</f>
        <v>3275.0720000000001</v>
      </c>
      <c r="AB20" s="6">
        <f>(AA20/Z19)</f>
        <v>3.2750720000000004E-2</v>
      </c>
      <c r="AC20" s="7">
        <f t="shared" ref="AC20:AC24" si="16">AB20+1</f>
        <v>1.0327507199999999</v>
      </c>
      <c r="AD20" s="2">
        <f t="shared" ref="AD20:AD24" si="17">Z20-(I20-O20)</f>
        <v>0</v>
      </c>
      <c r="AE20" s="2"/>
      <c r="AG20">
        <f t="shared" ref="AG20:AG24" si="18">A20</f>
        <v>2007</v>
      </c>
      <c r="AH20" s="6">
        <f t="shared" si="8"/>
        <v>0.19576238494416157</v>
      </c>
      <c r="AI20" s="6"/>
      <c r="AJ20" s="6">
        <f t="shared" si="8"/>
        <v>0.19698436424232171</v>
      </c>
      <c r="AK20" s="6">
        <f t="shared" si="8"/>
        <v>8.9614794942965523E-2</v>
      </c>
      <c r="AL20" s="6"/>
      <c r="AM20" s="6">
        <f t="shared" si="8"/>
        <v>0.21538377044171897</v>
      </c>
      <c r="AN20" s="6">
        <f t="shared" ref="AN20:AN24" si="19">Y20/$Z20</f>
        <v>0.30225468542883221</v>
      </c>
      <c r="AO20" s="20">
        <f>SUM(AH20:AN20)</f>
        <v>1</v>
      </c>
      <c r="AP20" s="22"/>
      <c r="AQ20">
        <f t="shared" ref="AQ20:AQ24" si="20">AG20</f>
        <v>2007</v>
      </c>
      <c r="AR20" s="1" t="b">
        <f t="shared" ref="AR20:AR24" si="21">AND((S20/$Z20)&gt;0.15,(S20/$Z20)&lt;0.25)</f>
        <v>1</v>
      </c>
      <c r="AS20" s="1"/>
      <c r="AT20" s="1" t="b">
        <f t="shared" ref="AT20:AT24" si="22">AND((U20/$Z20)&gt;0.15,(U20/$Z20)&lt;0.25)</f>
        <v>1</v>
      </c>
      <c r="AU20" s="1" t="b">
        <f t="shared" ref="AU20:AU24" si="23">AND((V20/$Z20)&gt;0.05,(V20/$Z20)&lt;0.15)</f>
        <v>1</v>
      </c>
      <c r="AV20" s="1"/>
      <c r="AW20" s="1" t="b">
        <f t="shared" ref="AW20:AW23" si="24">AND((X20/$Z20)&gt;0.15,(X20/$Z20)&lt;0.25)</f>
        <v>1</v>
      </c>
      <c r="AX20" s="1" t="b">
        <f t="shared" ref="AX20:AX24" si="25">AND((Y20/$Z20)&gt;0.25,(Y20/$Z20)&lt;0.35)</f>
        <v>1</v>
      </c>
      <c r="AY20" s="1" t="b">
        <f t="shared" ref="AY20:AY24" si="26">AND((Z20/$Z20)&gt;0.999,(Z20/$Z20)&lt;1.01)</f>
        <v>1</v>
      </c>
      <c r="BA20">
        <f t="shared" ref="BA20:BA24" si="27">AQ20</f>
        <v>2007</v>
      </c>
      <c r="BB20" s="2">
        <f t="shared" ref="BB20" si="28">S20</f>
        <v>20217.374400000001</v>
      </c>
      <c r="BC20" s="2"/>
      <c r="BD20" s="2">
        <f t="shared" ref="BD20" si="29">U20</f>
        <v>20343.574400000001</v>
      </c>
      <c r="BE20" s="2">
        <f t="shared" ref="BE20" si="30">V20</f>
        <v>9254.974400000001</v>
      </c>
      <c r="BF20" s="2"/>
      <c r="BG20" s="2">
        <f t="shared" ref="BG20" si="31">X20</f>
        <v>22243.774399999998</v>
      </c>
      <c r="BH20" s="2">
        <f t="shared" ref="BH20" si="32">Y20</f>
        <v>31215.374399999997</v>
      </c>
      <c r="BI20" s="2">
        <f t="shared" ref="BI20:BI24" si="33">Z20</f>
        <v>103275.072</v>
      </c>
      <c r="BJ20" s="2">
        <f t="shared" ref="BJ20:BJ24" si="34">SUM(BB20:BH20)-Z20</f>
        <v>0</v>
      </c>
      <c r="BK20" s="2"/>
    </row>
    <row r="21" spans="1:63" x14ac:dyDescent="0.55000000000000004">
      <c r="A21">
        <f t="shared" si="9"/>
        <v>2008</v>
      </c>
      <c r="B21" s="2">
        <f t="shared" ref="B21:H21" si="35">BB20*(1+(B5/100))</f>
        <v>12732.902397119999</v>
      </c>
      <c r="C21" s="2"/>
      <c r="D21" s="2">
        <f t="shared" si="35"/>
        <v>11835.077842944002</v>
      </c>
      <c r="E21" s="2">
        <f t="shared" si="35"/>
        <v>5916.7051339200007</v>
      </c>
      <c r="F21" s="2"/>
      <c r="G21" s="2">
        <f t="shared" si="35"/>
        <v>12434.047451855999</v>
      </c>
      <c r="H21" s="2">
        <f t="shared" si="35"/>
        <v>32791.750807199998</v>
      </c>
      <c r="I21" s="2">
        <f t="shared" si="7"/>
        <v>75710.483633039999</v>
      </c>
      <c r="J21" s="2">
        <f t="shared" ref="J21:J25" si="36">I21-I20</f>
        <v>-31867.716366959998</v>
      </c>
      <c r="K21" s="6">
        <f t="shared" ref="K21:K25" si="37">(J21/I20)</f>
        <v>-0.2962283842540589</v>
      </c>
      <c r="L21" s="7">
        <f t="shared" si="10"/>
        <v>0.70377161574594105</v>
      </c>
      <c r="N21">
        <f t="shared" si="11"/>
        <v>2008</v>
      </c>
      <c r="O21" s="2">
        <f t="shared" ref="O21:O27" si="38">O20*(1+O5)</f>
        <v>4303.1279999999997</v>
      </c>
      <c r="P21" s="2"/>
      <c r="Q21" s="2"/>
      <c r="R21">
        <f t="shared" si="5"/>
        <v>2008</v>
      </c>
      <c r="S21" s="2">
        <f t="shared" si="12"/>
        <v>11872.276797119999</v>
      </c>
      <c r="T21" s="2"/>
      <c r="U21" s="2">
        <f t="shared" si="13"/>
        <v>10974.452242944002</v>
      </c>
      <c r="V21" s="2">
        <f t="shared" si="13"/>
        <v>5056.0795339200004</v>
      </c>
      <c r="W21" s="2"/>
      <c r="X21" s="2">
        <f t="shared" si="14"/>
        <v>11573.421851855999</v>
      </c>
      <c r="Y21" s="2">
        <f t="shared" si="14"/>
        <v>31931.125207199999</v>
      </c>
      <c r="Z21" s="2">
        <f t="shared" si="15"/>
        <v>71407.355633040002</v>
      </c>
      <c r="AA21" s="2">
        <f t="shared" ref="AA21:AA24" si="39">Z21-Z20</f>
        <v>-31867.716366959998</v>
      </c>
      <c r="AB21" s="6">
        <f t="shared" ref="AB21:AB24" si="40">(AA21/Z20)</f>
        <v>-0.308571233597978</v>
      </c>
      <c r="AC21" s="7">
        <f t="shared" si="16"/>
        <v>0.691428766402022</v>
      </c>
      <c r="AD21" s="2">
        <f t="shared" si="17"/>
        <v>0</v>
      </c>
      <c r="AE21" s="2"/>
      <c r="AG21">
        <f t="shared" si="18"/>
        <v>2008</v>
      </c>
      <c r="AH21" s="6">
        <f t="shared" si="8"/>
        <v>0.16626125826772287</v>
      </c>
      <c r="AI21" s="6"/>
      <c r="AJ21" s="6">
        <f t="shared" si="8"/>
        <v>0.15368797997984049</v>
      </c>
      <c r="AK21" s="6">
        <f t="shared" si="8"/>
        <v>7.0806144396426365E-2</v>
      </c>
      <c r="AL21" s="6"/>
      <c r="AM21" s="6">
        <f t="shared" si="8"/>
        <v>0.16207604593750011</v>
      </c>
      <c r="AN21" s="6">
        <f t="shared" si="19"/>
        <v>0.44716857141851013</v>
      </c>
      <c r="AO21" s="20">
        <f t="shared" ref="AO21:AO24" si="41">SUM(AH21:AN21)</f>
        <v>1</v>
      </c>
      <c r="AP21" s="22"/>
      <c r="AQ21">
        <f t="shared" si="20"/>
        <v>2008</v>
      </c>
      <c r="AR21" s="1" t="b">
        <f t="shared" si="21"/>
        <v>1</v>
      </c>
      <c r="AS21" s="1"/>
      <c r="AT21" s="1" t="b">
        <f t="shared" si="22"/>
        <v>1</v>
      </c>
      <c r="AU21" s="1" t="b">
        <f t="shared" si="23"/>
        <v>1</v>
      </c>
      <c r="AV21" s="1"/>
      <c r="AW21" s="1" t="b">
        <f t="shared" si="24"/>
        <v>1</v>
      </c>
      <c r="AX21" s="35" t="b">
        <f t="shared" si="25"/>
        <v>0</v>
      </c>
      <c r="AY21" s="1" t="b">
        <f t="shared" si="26"/>
        <v>1</v>
      </c>
      <c r="BA21">
        <f t="shared" si="27"/>
        <v>2008</v>
      </c>
      <c r="BB21" s="36">
        <f>BB$19*$Z21</f>
        <v>14281.471126608001</v>
      </c>
      <c r="BC21" s="2"/>
      <c r="BD21" s="36">
        <f>BD$19*$Z21</f>
        <v>14281.471126608001</v>
      </c>
      <c r="BE21" s="36">
        <f>BE$19*$Z21</f>
        <v>7140.7355633040006</v>
      </c>
      <c r="BF21" s="2"/>
      <c r="BG21" s="36">
        <f>BG$19*$Z21</f>
        <v>14281.471126608001</v>
      </c>
      <c r="BH21" s="36">
        <f>BH$19*$Z21</f>
        <v>21422.206689912</v>
      </c>
      <c r="BI21" s="2">
        <f t="shared" si="33"/>
        <v>71407.355633040002</v>
      </c>
      <c r="BJ21" s="2">
        <f t="shared" si="34"/>
        <v>0</v>
      </c>
      <c r="BK21" s="2"/>
    </row>
    <row r="22" spans="1:63" x14ac:dyDescent="0.55000000000000004">
      <c r="A22">
        <f t="shared" si="9"/>
        <v>2009</v>
      </c>
      <c r="B22" s="2">
        <f t="shared" ref="B22:B27" si="42">BB21*(1+(B6/100))</f>
        <v>18064.632828046459</v>
      </c>
      <c r="C22" s="2"/>
      <c r="D22" s="2">
        <f t="shared" ref="D22:E27" si="43">BD21*(1+(D6/100))</f>
        <v>20025.193184307205</v>
      </c>
      <c r="E22" s="2">
        <f t="shared" si="43"/>
        <v>9719.8264340581391</v>
      </c>
      <c r="F22" s="2"/>
      <c r="G22" s="2">
        <f t="shared" ref="G22:H27" si="44">BG21*(1+(G6/100))</f>
        <v>19526.627027277322</v>
      </c>
      <c r="H22" s="2">
        <f t="shared" si="44"/>
        <v>22692.54354662378</v>
      </c>
      <c r="I22" s="2">
        <f t="shared" si="7"/>
        <v>90028.823020312906</v>
      </c>
      <c r="J22" s="2">
        <f t="shared" si="36"/>
        <v>14318.339387272907</v>
      </c>
      <c r="K22" s="6">
        <f t="shared" si="37"/>
        <v>0.18911963971426005</v>
      </c>
      <c r="L22" s="7">
        <f t="shared" si="10"/>
        <v>1.18911963971426</v>
      </c>
      <c r="N22">
        <f t="shared" si="11"/>
        <v>2009</v>
      </c>
      <c r="O22" s="2">
        <f t="shared" si="38"/>
        <v>4423.6155840000001</v>
      </c>
      <c r="P22" s="2"/>
      <c r="Q22" s="2"/>
      <c r="R22">
        <f t="shared" si="5"/>
        <v>2009</v>
      </c>
      <c r="S22" s="2">
        <f t="shared" si="12"/>
        <v>17179.909711246459</v>
      </c>
      <c r="T22" s="2"/>
      <c r="U22" s="2">
        <f t="shared" si="13"/>
        <v>19140.470067507205</v>
      </c>
      <c r="V22" s="2">
        <f t="shared" si="13"/>
        <v>8835.1033172581392</v>
      </c>
      <c r="W22" s="2"/>
      <c r="X22" s="2">
        <f t="shared" si="14"/>
        <v>18641.903910477322</v>
      </c>
      <c r="Y22" s="2">
        <f t="shared" si="14"/>
        <v>21807.82042982378</v>
      </c>
      <c r="Z22" s="2">
        <f t="shared" si="15"/>
        <v>85605.207436312907</v>
      </c>
      <c r="AA22" s="2">
        <f t="shared" si="39"/>
        <v>14197.851803272904</v>
      </c>
      <c r="AB22" s="6">
        <f t="shared" si="40"/>
        <v>0.19882898165610818</v>
      </c>
      <c r="AC22" s="7">
        <f t="shared" si="16"/>
        <v>1.1988289816561082</v>
      </c>
      <c r="AD22" s="2">
        <f t="shared" si="17"/>
        <v>0</v>
      </c>
      <c r="AE22" s="2"/>
      <c r="AG22">
        <f t="shared" si="18"/>
        <v>2009</v>
      </c>
      <c r="AH22" s="6">
        <f t="shared" si="8"/>
        <v>0.20068767106285762</v>
      </c>
      <c r="AI22" s="6"/>
      <c r="AJ22" s="6">
        <f t="shared" si="8"/>
        <v>0.22359002028874242</v>
      </c>
      <c r="AK22" s="6">
        <f t="shared" si="8"/>
        <v>0.10320754521658192</v>
      </c>
      <c r="AL22" s="6"/>
      <c r="AM22" s="6">
        <f t="shared" si="8"/>
        <v>0.21776600359675788</v>
      </c>
      <c r="AN22" s="6">
        <f t="shared" si="19"/>
        <v>0.25474875983506012</v>
      </c>
      <c r="AO22" s="20">
        <f t="shared" si="41"/>
        <v>1</v>
      </c>
      <c r="AP22" s="22"/>
      <c r="AQ22">
        <f t="shared" si="20"/>
        <v>2009</v>
      </c>
      <c r="AR22" s="1" t="b">
        <f t="shared" si="21"/>
        <v>1</v>
      </c>
      <c r="AS22" s="1"/>
      <c r="AT22" s="1" t="b">
        <f t="shared" si="22"/>
        <v>1</v>
      </c>
      <c r="AU22" s="1" t="b">
        <f t="shared" si="23"/>
        <v>1</v>
      </c>
      <c r="AV22" s="1"/>
      <c r="AW22" s="1" t="b">
        <f t="shared" si="24"/>
        <v>1</v>
      </c>
      <c r="AX22" s="1" t="b">
        <f t="shared" si="25"/>
        <v>1</v>
      </c>
      <c r="AY22" s="1" t="b">
        <f t="shared" si="26"/>
        <v>1</v>
      </c>
      <c r="BA22">
        <f t="shared" si="27"/>
        <v>2009</v>
      </c>
      <c r="BB22" s="2">
        <f t="shared" ref="BB22" si="45">S22</f>
        <v>17179.909711246459</v>
      </c>
      <c r="BC22" s="2"/>
      <c r="BD22" s="2">
        <f t="shared" ref="BD22" si="46">U22</f>
        <v>19140.470067507205</v>
      </c>
      <c r="BE22" s="2">
        <f t="shared" ref="BE22" si="47">V22</f>
        <v>8835.1033172581392</v>
      </c>
      <c r="BF22" s="2"/>
      <c r="BG22" s="2">
        <f t="shared" ref="BG22" si="48">X22</f>
        <v>18641.903910477322</v>
      </c>
      <c r="BH22" s="2">
        <f t="shared" ref="BH22" si="49">Y22</f>
        <v>21807.82042982378</v>
      </c>
      <c r="BI22" s="2">
        <f t="shared" si="33"/>
        <v>85605.207436312907</v>
      </c>
      <c r="BJ22" s="2">
        <f t="shared" si="34"/>
        <v>0</v>
      </c>
      <c r="BK22" s="2"/>
    </row>
    <row r="23" spans="1:63" x14ac:dyDescent="0.55000000000000004">
      <c r="A23">
        <f t="shared" si="9"/>
        <v>2010</v>
      </c>
      <c r="B23" s="2">
        <f t="shared" si="42"/>
        <v>19741.434249193306</v>
      </c>
      <c r="C23" s="2"/>
      <c r="D23" s="2">
        <f t="shared" si="43"/>
        <v>24013.633746694537</v>
      </c>
      <c r="E23" s="2">
        <f t="shared" si="43"/>
        <v>11284.193956802097</v>
      </c>
      <c r="F23" s="2"/>
      <c r="G23" s="2">
        <f t="shared" si="44"/>
        <v>20714.8836253224</v>
      </c>
      <c r="H23" s="2">
        <f t="shared" si="44"/>
        <v>23207.882501418466</v>
      </c>
      <c r="I23" s="2">
        <f t="shared" si="7"/>
        <v>98962.028079430806</v>
      </c>
      <c r="J23" s="2">
        <f t="shared" si="36"/>
        <v>8933.2050591178995</v>
      </c>
      <c r="K23" s="6">
        <f t="shared" si="37"/>
        <v>9.9226056272026686E-2</v>
      </c>
      <c r="L23" s="7">
        <f t="shared" si="10"/>
        <v>1.0992260562720266</v>
      </c>
      <c r="N23">
        <f t="shared" si="11"/>
        <v>2010</v>
      </c>
      <c r="O23" s="2">
        <f t="shared" si="38"/>
        <v>4485.5462021760004</v>
      </c>
      <c r="P23" s="2"/>
      <c r="Q23" s="2"/>
      <c r="R23">
        <f t="shared" si="5"/>
        <v>2010</v>
      </c>
      <c r="S23" s="2">
        <f t="shared" si="12"/>
        <v>18844.325008758107</v>
      </c>
      <c r="T23" s="2"/>
      <c r="U23" s="2">
        <f t="shared" si="13"/>
        <v>23116.524506259339</v>
      </c>
      <c r="V23" s="2">
        <f t="shared" si="13"/>
        <v>10387.084716366897</v>
      </c>
      <c r="W23" s="2"/>
      <c r="X23" s="2">
        <f t="shared" si="14"/>
        <v>19817.774384887201</v>
      </c>
      <c r="Y23" s="2">
        <f t="shared" si="14"/>
        <v>22310.773260983267</v>
      </c>
      <c r="Z23" s="2">
        <f t="shared" si="15"/>
        <v>94476.481877254817</v>
      </c>
      <c r="AA23" s="2">
        <f t="shared" si="39"/>
        <v>8871.2744409419101</v>
      </c>
      <c r="AB23" s="6">
        <f t="shared" si="40"/>
        <v>0.10363007936803154</v>
      </c>
      <c r="AC23" s="7">
        <f t="shared" si="16"/>
        <v>1.1036300793680316</v>
      </c>
      <c r="AD23" s="2">
        <f t="shared" si="17"/>
        <v>0</v>
      </c>
      <c r="AE23" s="2"/>
      <c r="AG23">
        <f t="shared" si="18"/>
        <v>2010</v>
      </c>
      <c r="AH23" s="6">
        <f t="shared" si="8"/>
        <v>0.19946048619000145</v>
      </c>
      <c r="AI23" s="6"/>
      <c r="AJ23" s="6">
        <f t="shared" si="8"/>
        <v>0.24468020026711679</v>
      </c>
      <c r="AK23" s="6">
        <f t="shared" si="8"/>
        <v>0.10994360194171862</v>
      </c>
      <c r="AL23" s="6"/>
      <c r="AM23" s="6">
        <f t="shared" si="8"/>
        <v>0.20976410204006893</v>
      </c>
      <c r="AN23" s="6">
        <f t="shared" si="19"/>
        <v>0.23615160956109416</v>
      </c>
      <c r="AO23" s="20">
        <f t="shared" si="41"/>
        <v>0.99999999999999989</v>
      </c>
      <c r="AP23" s="22"/>
      <c r="AQ23">
        <f t="shared" si="20"/>
        <v>2010</v>
      </c>
      <c r="AR23" s="1" t="b">
        <f t="shared" si="21"/>
        <v>1</v>
      </c>
      <c r="AS23" s="1"/>
      <c r="AT23" s="1" t="b">
        <f t="shared" si="22"/>
        <v>1</v>
      </c>
      <c r="AU23" s="1" t="b">
        <f t="shared" si="23"/>
        <v>1</v>
      </c>
      <c r="AV23" s="1"/>
      <c r="AW23" s="1" t="b">
        <f t="shared" si="24"/>
        <v>1</v>
      </c>
      <c r="AX23" s="35" t="b">
        <f t="shared" si="25"/>
        <v>0</v>
      </c>
      <c r="AY23" s="1" t="b">
        <f t="shared" si="26"/>
        <v>1</v>
      </c>
      <c r="BA23">
        <f t="shared" si="27"/>
        <v>2010</v>
      </c>
      <c r="BB23" s="36">
        <f>BB$19*$Z23</f>
        <v>18895.296375450966</v>
      </c>
      <c r="BC23" s="2"/>
      <c r="BD23" s="36">
        <f>BD$19*$Z23</f>
        <v>18895.296375450966</v>
      </c>
      <c r="BE23" s="36">
        <f>BE$19*$Z23</f>
        <v>9447.6481877254828</v>
      </c>
      <c r="BF23" s="2"/>
      <c r="BG23" s="36">
        <f>BG$19*$Z23</f>
        <v>18895.296375450966</v>
      </c>
      <c r="BH23" s="36">
        <f>BH$19*$Z23</f>
        <v>28342.944563176443</v>
      </c>
      <c r="BI23" s="2">
        <f t="shared" si="33"/>
        <v>94476.481877254817</v>
      </c>
      <c r="BJ23" s="2">
        <f t="shared" si="34"/>
        <v>0</v>
      </c>
      <c r="BK23" s="2"/>
    </row>
    <row r="24" spans="1:63" x14ac:dyDescent="0.55000000000000004">
      <c r="A24">
        <f t="shared" si="9"/>
        <v>2011</v>
      </c>
      <c r="B24" s="2">
        <f t="shared" si="42"/>
        <v>19267.533714047349</v>
      </c>
      <c r="C24" s="2"/>
      <c r="D24" s="2">
        <f t="shared" si="43"/>
        <v>18496.605621928949</v>
      </c>
      <c r="E24" s="2">
        <f t="shared" si="43"/>
        <v>9183.1140384691698</v>
      </c>
      <c r="F24" s="2"/>
      <c r="G24" s="2">
        <f t="shared" si="44"/>
        <v>16144.141223185306</v>
      </c>
      <c r="H24" s="2">
        <f t="shared" si="44"/>
        <v>30485.671172152586</v>
      </c>
      <c r="I24" s="2">
        <f t="shared" si="7"/>
        <v>93577.065769783367</v>
      </c>
      <c r="J24" s="2">
        <f t="shared" si="36"/>
        <v>-5384.9623096474388</v>
      </c>
      <c r="K24" s="6">
        <f t="shared" si="37"/>
        <v>-5.4414429596423154E-2</v>
      </c>
      <c r="L24" s="7">
        <f t="shared" si="10"/>
        <v>0.94558557040357682</v>
      </c>
      <c r="N24">
        <f t="shared" si="11"/>
        <v>2011</v>
      </c>
      <c r="O24" s="2">
        <f t="shared" si="38"/>
        <v>4620.1125882412807</v>
      </c>
      <c r="P24" s="2"/>
      <c r="Q24" s="2"/>
      <c r="R24">
        <f t="shared" si="5"/>
        <v>2011</v>
      </c>
      <c r="S24" s="2">
        <f t="shared" si="12"/>
        <v>18343.511196399093</v>
      </c>
      <c r="T24" s="2"/>
      <c r="U24" s="2">
        <f t="shared" si="13"/>
        <v>17572.583104280693</v>
      </c>
      <c r="V24" s="2">
        <f t="shared" si="13"/>
        <v>8259.0915208209135</v>
      </c>
      <c r="W24" s="2"/>
      <c r="X24" s="2">
        <f t="shared" si="14"/>
        <v>15220.11870553705</v>
      </c>
      <c r="Y24" s="2">
        <f t="shared" si="14"/>
        <v>29561.64865450433</v>
      </c>
      <c r="Z24" s="2">
        <f t="shared" si="15"/>
        <v>88956.953181542078</v>
      </c>
      <c r="AA24" s="2">
        <f t="shared" si="39"/>
        <v>-5519.5286957127391</v>
      </c>
      <c r="AB24" s="6">
        <f t="shared" si="40"/>
        <v>-5.8422250554204476E-2</v>
      </c>
      <c r="AC24" s="7">
        <f t="shared" si="16"/>
        <v>0.94157774944579553</v>
      </c>
      <c r="AD24" s="2">
        <f t="shared" si="17"/>
        <v>0</v>
      </c>
      <c r="AE24" s="2"/>
      <c r="AG24">
        <f t="shared" si="18"/>
        <v>2011</v>
      </c>
      <c r="AH24" s="6">
        <f t="shared" si="8"/>
        <v>0.20620660375995475</v>
      </c>
      <c r="AI24" s="6"/>
      <c r="AJ24" s="6">
        <f t="shared" si="8"/>
        <v>0.19754029871525408</v>
      </c>
      <c r="AK24" s="6">
        <f t="shared" si="8"/>
        <v>9.2843687035524675E-2</v>
      </c>
      <c r="AL24" s="7"/>
      <c r="AM24" s="6">
        <f t="shared" si="8"/>
        <v>0.17109532376267483</v>
      </c>
      <c r="AN24" s="6">
        <f t="shared" si="19"/>
        <v>0.33231408672659168</v>
      </c>
      <c r="AO24" s="20">
        <f t="shared" si="41"/>
        <v>1</v>
      </c>
      <c r="AP24" s="22"/>
      <c r="AQ24">
        <f t="shared" si="20"/>
        <v>2011</v>
      </c>
      <c r="AR24" s="1" t="b">
        <f t="shared" si="21"/>
        <v>1</v>
      </c>
      <c r="AS24" s="1"/>
      <c r="AT24" s="1" t="b">
        <f t="shared" si="22"/>
        <v>1</v>
      </c>
      <c r="AU24" s="1" t="b">
        <f t="shared" si="23"/>
        <v>1</v>
      </c>
      <c r="AV24" s="1"/>
      <c r="AW24" s="1" t="b">
        <f t="shared" ref="AW24" si="50">AND((X24/$Z24)&gt;0.15,(X24/$Z24)&lt;0.25)</f>
        <v>1</v>
      </c>
      <c r="AX24" s="1" t="b">
        <f t="shared" si="25"/>
        <v>1</v>
      </c>
      <c r="AY24" s="1" t="b">
        <f t="shared" si="26"/>
        <v>1</v>
      </c>
      <c r="BA24">
        <f t="shared" si="27"/>
        <v>2011</v>
      </c>
      <c r="BB24" s="2">
        <f t="shared" ref="BB24" si="51">S24</f>
        <v>18343.511196399093</v>
      </c>
      <c r="BC24" s="2"/>
      <c r="BD24" s="2">
        <f t="shared" ref="BD24" si="52">U24</f>
        <v>17572.583104280693</v>
      </c>
      <c r="BE24" s="2">
        <f t="shared" ref="BE24" si="53">V24</f>
        <v>8259.0915208209135</v>
      </c>
      <c r="BF24" s="2"/>
      <c r="BG24" s="2">
        <f t="shared" ref="BG24" si="54">X24</f>
        <v>15220.11870553705</v>
      </c>
      <c r="BH24" s="2">
        <f t="shared" ref="BH24" si="55">Y24</f>
        <v>29561.64865450433</v>
      </c>
      <c r="BI24" s="2">
        <f t="shared" si="33"/>
        <v>88956.953181542078</v>
      </c>
      <c r="BJ24" s="2">
        <f t="shared" si="34"/>
        <v>0</v>
      </c>
      <c r="BK24" s="2"/>
    </row>
    <row r="25" spans="1:63" x14ac:dyDescent="0.55000000000000004">
      <c r="A25">
        <f t="shared" si="9"/>
        <v>2012</v>
      </c>
      <c r="B25" s="2">
        <f t="shared" si="42"/>
        <v>21245.454667669426</v>
      </c>
      <c r="C25" s="2"/>
      <c r="D25" s="2">
        <f t="shared" si="43"/>
        <v>20349.05123475704</v>
      </c>
      <c r="E25" s="2">
        <f t="shared" si="43"/>
        <v>9749.0316311770075</v>
      </c>
      <c r="F25" s="2"/>
      <c r="G25" s="2">
        <f t="shared" si="44"/>
        <v>17981.048238721472</v>
      </c>
      <c r="H25" s="2">
        <f t="shared" si="44"/>
        <v>30758.895425011753</v>
      </c>
      <c r="I25" s="2">
        <f t="shared" si="7"/>
        <v>100083.48119733669</v>
      </c>
      <c r="J25" s="2">
        <f t="shared" si="36"/>
        <v>6506.4154275533219</v>
      </c>
      <c r="K25" s="6">
        <f t="shared" si="37"/>
        <v>6.9530021849160017E-2</v>
      </c>
      <c r="L25" s="7">
        <f t="shared" si="10"/>
        <v>1.0695300218491601</v>
      </c>
      <c r="N25">
        <f t="shared" si="11"/>
        <v>2012</v>
      </c>
      <c r="O25" s="2">
        <f t="shared" si="38"/>
        <v>4703.2746148296237</v>
      </c>
      <c r="P25" s="2"/>
      <c r="Q25" s="2"/>
      <c r="R25">
        <f t="shared" ref="R25:R27" si="56">A25</f>
        <v>2012</v>
      </c>
      <c r="S25" s="2">
        <f t="shared" ref="S25:S27" si="57">B25-($O25/5)</f>
        <v>20304.799744703501</v>
      </c>
      <c r="T25" s="2"/>
      <c r="U25" s="2">
        <f t="shared" ref="U25:U27" si="58">D25-($O25/5)</f>
        <v>19408.396311791115</v>
      </c>
      <c r="V25" s="2">
        <f t="shared" ref="V25:V27" si="59">E25-($O25/5)</f>
        <v>8808.3767082110826</v>
      </c>
      <c r="W25" s="2"/>
      <c r="X25" s="2">
        <f t="shared" ref="X25:X27" si="60">G25-($O25/5)</f>
        <v>17040.393315755548</v>
      </c>
      <c r="Y25" s="2">
        <f t="shared" ref="Y25:Y27" si="61">H25-($O25/5)</f>
        <v>29818.240502045828</v>
      </c>
      <c r="Z25" s="2">
        <f t="shared" ref="Z25:Z27" si="62">SUM(S25:Y25)</f>
        <v>95380.206582507075</v>
      </c>
      <c r="AA25" s="2">
        <f t="shared" ref="AA25:AA27" si="63">Z25-Z24</f>
        <v>6423.2534009649971</v>
      </c>
      <c r="AB25" s="6">
        <f t="shared" ref="AB25:AB27" si="64">(AA25/Z24)</f>
        <v>7.2206310706893401E-2</v>
      </c>
      <c r="AC25" s="7">
        <f t="shared" ref="AC25:AC27" si="65">AB25+1</f>
        <v>1.0722063107068933</v>
      </c>
      <c r="AD25" s="2">
        <f t="shared" ref="AD25:AD27" si="66">Z25-(I25-O25)</f>
        <v>0</v>
      </c>
      <c r="AE25" s="2"/>
      <c r="AG25">
        <f t="shared" ref="AG25:AG27" si="67">A25</f>
        <v>2012</v>
      </c>
      <c r="AH25" s="6">
        <f t="shared" ref="AH25:AH27" si="68">S25/$Z25</f>
        <v>0.21288274026895893</v>
      </c>
      <c r="AI25" s="6"/>
      <c r="AJ25" s="6">
        <f t="shared" ref="AJ25:AJ27" si="69">U25/$Z25</f>
        <v>0.20348452794555652</v>
      </c>
      <c r="AK25" s="6">
        <f t="shared" ref="AK25:AK27" si="70">V25/$Z25</f>
        <v>9.2350153389440831E-2</v>
      </c>
      <c r="AL25" s="7"/>
      <c r="AM25" s="6">
        <f t="shared" ref="AM25:AM27" si="71">X25/$Z25</f>
        <v>0.17865754254804467</v>
      </c>
      <c r="AN25" s="6">
        <f t="shared" ref="AN25:AN27" si="72">Y25/$Z25</f>
        <v>0.31262503584799906</v>
      </c>
      <c r="AO25" s="20">
        <f t="shared" ref="AO25:AO27" si="73">SUM(AH25:AN25)</f>
        <v>1</v>
      </c>
      <c r="AP25" s="22"/>
      <c r="AQ25">
        <f t="shared" ref="AQ25:AQ27" si="74">AG25</f>
        <v>2012</v>
      </c>
      <c r="AR25" s="1" t="b">
        <f t="shared" ref="AR25:AR27" si="75">AND((S25/$Z25)&gt;0.15,(S25/$Z25)&lt;0.25)</f>
        <v>1</v>
      </c>
      <c r="AS25" s="1"/>
      <c r="AT25" s="1" t="b">
        <f t="shared" ref="AT25:AT27" si="76">AND((U25/$Z25)&gt;0.15,(U25/$Z25)&lt;0.25)</f>
        <v>1</v>
      </c>
      <c r="AU25" s="1" t="b">
        <f t="shared" ref="AU25:AU27" si="77">AND((V25/$Z25)&gt;0.05,(V25/$Z25)&lt;0.15)</f>
        <v>1</v>
      </c>
      <c r="AV25" s="1"/>
      <c r="AW25" s="1" t="b">
        <f t="shared" ref="AW25:AW27" si="78">AND((X25/$Z25)&gt;0.15,(X25/$Z25)&lt;0.25)</f>
        <v>1</v>
      </c>
      <c r="AX25" s="1" t="b">
        <f t="shared" ref="AX25:AX27" si="79">AND((Y25/$Z25)&gt;0.25,(Y25/$Z25)&lt;0.35)</f>
        <v>1</v>
      </c>
      <c r="AY25" s="1" t="b">
        <f t="shared" ref="AY25:AY27" si="80">AND((Z25/$Z25)&gt;0.999,(Z25/$Z25)&lt;1.01)</f>
        <v>1</v>
      </c>
      <c r="BA25">
        <f t="shared" ref="BA25:BA27" si="81">AQ25</f>
        <v>2012</v>
      </c>
      <c r="BB25" s="2">
        <f t="shared" ref="BB25:BB26" si="82">S25</f>
        <v>20304.799744703501</v>
      </c>
      <c r="BC25" s="2"/>
      <c r="BD25" s="2">
        <f t="shared" ref="BD25:BD26" si="83">U25</f>
        <v>19408.396311791115</v>
      </c>
      <c r="BE25" s="2">
        <f t="shared" ref="BE25:BE26" si="84">V25</f>
        <v>8808.3767082110826</v>
      </c>
      <c r="BF25" s="2"/>
      <c r="BG25" s="2">
        <f t="shared" ref="BG25:BG26" si="85">X25</f>
        <v>17040.393315755548</v>
      </c>
      <c r="BH25" s="2">
        <f t="shared" ref="BH25:BH26" si="86">Y25</f>
        <v>29818.240502045828</v>
      </c>
      <c r="BI25" s="2">
        <f t="shared" ref="BI25:BI27" si="87">Z25</f>
        <v>95380.206582507075</v>
      </c>
      <c r="BJ25" s="2">
        <f t="shared" ref="BJ25:BJ27" si="88">SUM(BB25:BH25)-Z25</f>
        <v>0</v>
      </c>
      <c r="BK25" s="2"/>
    </row>
    <row r="26" spans="1:63" x14ac:dyDescent="0.55000000000000004">
      <c r="A26">
        <f t="shared" si="9"/>
        <v>2013</v>
      </c>
      <c r="B26" s="2">
        <f t="shared" si="42"/>
        <v>26838.88430254909</v>
      </c>
      <c r="C26" s="2"/>
      <c r="D26" s="2">
        <f t="shared" si="43"/>
        <v>26201.335020918006</v>
      </c>
      <c r="E26" s="2">
        <f t="shared" si="43"/>
        <v>12122.08802584009</v>
      </c>
      <c r="F26" s="2"/>
      <c r="G26" s="2">
        <f t="shared" si="44"/>
        <v>19603.268470445179</v>
      </c>
      <c r="H26" s="2">
        <f t="shared" si="44"/>
        <v>29144.348266699595</v>
      </c>
      <c r="I26" s="2">
        <f t="shared" ref="I26:I27" si="89">SUM(B26:H26)</f>
        <v>113909.92408645197</v>
      </c>
      <c r="J26" s="2">
        <f t="shared" ref="J26:J27" si="90">I26-I25</f>
        <v>13826.442889115278</v>
      </c>
      <c r="K26" s="6">
        <f t="shared" ref="K26:K27" si="91">(J26/I25)</f>
        <v>0.13814910036805567</v>
      </c>
      <c r="L26" s="7">
        <f t="shared" ref="L26:L27" si="92">K26+1</f>
        <v>1.1381491003680557</v>
      </c>
      <c r="N26">
        <f t="shared" ref="N26:N27" si="93">A26</f>
        <v>2013</v>
      </c>
      <c r="O26" s="2">
        <f t="shared" si="38"/>
        <v>4757.6252661585313</v>
      </c>
      <c r="P26" s="2"/>
      <c r="Q26" s="2"/>
      <c r="R26">
        <f t="shared" si="56"/>
        <v>2013</v>
      </c>
      <c r="S26" s="2">
        <f t="shared" si="57"/>
        <v>25887.359249317382</v>
      </c>
      <c r="T26" s="2"/>
      <c r="U26" s="2">
        <f t="shared" si="58"/>
        <v>25249.809967686298</v>
      </c>
      <c r="V26" s="2">
        <f t="shared" si="59"/>
        <v>11170.562972608384</v>
      </c>
      <c r="W26" s="2"/>
      <c r="X26" s="2">
        <f t="shared" si="60"/>
        <v>18651.743417213471</v>
      </c>
      <c r="Y26" s="2">
        <f t="shared" si="61"/>
        <v>28192.823213467887</v>
      </c>
      <c r="Z26" s="2">
        <f t="shared" si="62"/>
        <v>109152.29882029342</v>
      </c>
      <c r="AA26" s="2">
        <f t="shared" si="63"/>
        <v>13772.092237786346</v>
      </c>
      <c r="AB26" s="6">
        <f t="shared" si="64"/>
        <v>0.14439151194197744</v>
      </c>
      <c r="AC26" s="7">
        <f t="shared" si="65"/>
        <v>1.1443915119419774</v>
      </c>
      <c r="AD26" s="2">
        <f t="shared" si="66"/>
        <v>0</v>
      </c>
      <c r="AE26" s="2"/>
      <c r="AG26">
        <f t="shared" si="67"/>
        <v>2013</v>
      </c>
      <c r="AH26" s="6">
        <f t="shared" si="68"/>
        <v>0.23716732976863741</v>
      </c>
      <c r="AI26" s="6"/>
      <c r="AJ26" s="6">
        <f t="shared" si="69"/>
        <v>0.23132641493201328</v>
      </c>
      <c r="AK26" s="6">
        <f t="shared" si="70"/>
        <v>0.10233923695001072</v>
      </c>
      <c r="AL26" s="7"/>
      <c r="AM26" s="6">
        <f t="shared" si="71"/>
        <v>0.17087815482403534</v>
      </c>
      <c r="AN26" s="6">
        <f t="shared" si="72"/>
        <v>0.25828886352530328</v>
      </c>
      <c r="AO26" s="20">
        <f t="shared" si="73"/>
        <v>1</v>
      </c>
      <c r="AP26" s="22"/>
      <c r="AQ26">
        <f t="shared" si="74"/>
        <v>2013</v>
      </c>
      <c r="AR26" s="1" t="b">
        <f t="shared" si="75"/>
        <v>1</v>
      </c>
      <c r="AS26" s="1"/>
      <c r="AT26" s="1" t="b">
        <f t="shared" si="76"/>
        <v>1</v>
      </c>
      <c r="AU26" s="1" t="b">
        <f t="shared" si="77"/>
        <v>1</v>
      </c>
      <c r="AV26" s="1"/>
      <c r="AW26" s="1" t="b">
        <f t="shared" si="78"/>
        <v>1</v>
      </c>
      <c r="AX26" s="1" t="b">
        <f t="shared" si="79"/>
        <v>1</v>
      </c>
      <c r="AY26" s="1" t="b">
        <f t="shared" si="80"/>
        <v>1</v>
      </c>
      <c r="BA26">
        <f t="shared" si="81"/>
        <v>2013</v>
      </c>
      <c r="BB26" s="2">
        <f t="shared" si="82"/>
        <v>25887.359249317382</v>
      </c>
      <c r="BC26" s="2"/>
      <c r="BD26" s="2">
        <f t="shared" si="83"/>
        <v>25249.809967686298</v>
      </c>
      <c r="BE26" s="2">
        <f t="shared" si="84"/>
        <v>11170.562972608384</v>
      </c>
      <c r="BF26" s="2"/>
      <c r="BG26" s="2">
        <f t="shared" si="85"/>
        <v>18651.743417213471</v>
      </c>
      <c r="BH26" s="2">
        <f t="shared" si="86"/>
        <v>28192.823213467887</v>
      </c>
      <c r="BI26" s="2">
        <f t="shared" si="87"/>
        <v>109152.29882029342</v>
      </c>
      <c r="BJ26" s="2">
        <f t="shared" si="88"/>
        <v>0</v>
      </c>
      <c r="BK26" s="2"/>
    </row>
    <row r="27" spans="1:63" x14ac:dyDescent="0.55000000000000004">
      <c r="A27">
        <f t="shared" si="9"/>
        <v>2014</v>
      </c>
      <c r="B27" s="2">
        <f t="shared" si="42"/>
        <v>29384.741483900161</v>
      </c>
      <c r="C27" s="2"/>
      <c r="D27" s="2">
        <f t="shared" si="43"/>
        <v>28683.78412329164</v>
      </c>
      <c r="E27" s="2">
        <f t="shared" si="43"/>
        <v>11993.833463689623</v>
      </c>
      <c r="F27" s="2"/>
      <c r="G27" s="2">
        <f t="shared" si="44"/>
        <v>17860.90949632362</v>
      </c>
      <c r="H27" s="2">
        <f t="shared" si="44"/>
        <v>29816.72983056364</v>
      </c>
      <c r="I27" s="2">
        <f t="shared" si="89"/>
        <v>117739.99839776866</v>
      </c>
      <c r="J27" s="2">
        <f t="shared" si="90"/>
        <v>3830.0743113166973</v>
      </c>
      <c r="K27" s="6">
        <f t="shared" si="91"/>
        <v>3.3623710506644366E-2</v>
      </c>
      <c r="L27" s="7">
        <f t="shared" si="92"/>
        <v>1.0336237105066444</v>
      </c>
      <c r="N27">
        <f t="shared" si="93"/>
        <v>2014</v>
      </c>
      <c r="O27" s="2">
        <f t="shared" si="38"/>
        <v>4818.9986320919761</v>
      </c>
      <c r="P27" s="2"/>
      <c r="Q27" s="2"/>
      <c r="R27">
        <f t="shared" si="56"/>
        <v>2014</v>
      </c>
      <c r="S27" s="2">
        <f t="shared" si="57"/>
        <v>28420.941757481767</v>
      </c>
      <c r="T27" s="2"/>
      <c r="U27" s="2">
        <f t="shared" si="58"/>
        <v>27719.984396873246</v>
      </c>
      <c r="V27" s="2">
        <f t="shared" si="59"/>
        <v>11030.033737271227</v>
      </c>
      <c r="W27" s="2"/>
      <c r="X27" s="2">
        <f t="shared" si="60"/>
        <v>16897.109769905226</v>
      </c>
      <c r="Y27" s="2">
        <f t="shared" si="61"/>
        <v>28852.930104145245</v>
      </c>
      <c r="Z27" s="2">
        <f t="shared" si="62"/>
        <v>112920.99976567669</v>
      </c>
      <c r="AA27" s="2">
        <f t="shared" si="63"/>
        <v>3768.7009453832725</v>
      </c>
      <c r="AB27" s="6">
        <f t="shared" si="64"/>
        <v>3.4526995639258144E-2</v>
      </c>
      <c r="AC27" s="7">
        <f t="shared" si="65"/>
        <v>1.0345269956392582</v>
      </c>
      <c r="AD27" s="2">
        <f t="shared" si="66"/>
        <v>0</v>
      </c>
      <c r="AE27" s="2"/>
      <c r="AG27">
        <f t="shared" si="67"/>
        <v>2014</v>
      </c>
      <c r="AH27" s="6">
        <f t="shared" si="68"/>
        <v>0.25168871880746985</v>
      </c>
      <c r="AI27" s="6"/>
      <c r="AJ27" s="6">
        <f t="shared" si="69"/>
        <v>0.24548121655312313</v>
      </c>
      <c r="AK27" s="6">
        <f t="shared" si="70"/>
        <v>9.7679207234790177E-2</v>
      </c>
      <c r="AL27" s="7"/>
      <c r="AM27" s="6">
        <f t="shared" si="71"/>
        <v>0.14963655834582193</v>
      </c>
      <c r="AN27" s="6">
        <f t="shared" si="72"/>
        <v>0.25551429905879508</v>
      </c>
      <c r="AO27" s="20">
        <f t="shared" si="73"/>
        <v>1</v>
      </c>
      <c r="AP27" s="22"/>
      <c r="AQ27">
        <f t="shared" si="74"/>
        <v>2014</v>
      </c>
      <c r="AR27" s="65" t="b">
        <f t="shared" si="75"/>
        <v>0</v>
      </c>
      <c r="AS27" s="1"/>
      <c r="AT27" s="1" t="b">
        <f t="shared" si="76"/>
        <v>1</v>
      </c>
      <c r="AU27" s="1" t="b">
        <f t="shared" si="77"/>
        <v>1</v>
      </c>
      <c r="AV27" s="1"/>
      <c r="AW27" s="65" t="b">
        <f t="shared" si="78"/>
        <v>0</v>
      </c>
      <c r="AX27" s="1" t="b">
        <f t="shared" si="79"/>
        <v>1</v>
      </c>
      <c r="AY27" s="1" t="b">
        <f t="shared" si="80"/>
        <v>1</v>
      </c>
      <c r="BA27">
        <f t="shared" si="81"/>
        <v>2014</v>
      </c>
      <c r="BB27" s="36">
        <f>BB$19*$Z27</f>
        <v>22584.199953135339</v>
      </c>
      <c r="BC27" s="2"/>
      <c r="BD27" s="36">
        <f>BD$19*$Z27</f>
        <v>22584.199953135339</v>
      </c>
      <c r="BE27" s="36">
        <f>BE$19*$Z27</f>
        <v>11292.09997656767</v>
      </c>
      <c r="BF27" s="2"/>
      <c r="BG27" s="36">
        <f>BG$19*$Z27</f>
        <v>22584.199953135339</v>
      </c>
      <c r="BH27" s="36">
        <f>BH$19*$Z27</f>
        <v>33876.299929703004</v>
      </c>
      <c r="BI27" s="2">
        <f t="shared" si="87"/>
        <v>112920.99976567669</v>
      </c>
      <c r="BJ27" s="2">
        <f t="shared" si="88"/>
        <v>0</v>
      </c>
      <c r="BK27" s="2"/>
    </row>
    <row r="28" spans="1:63" x14ac:dyDescent="0.55000000000000004">
      <c r="A28">
        <f t="shared" ref="A28:A29" si="94">A12</f>
        <v>2015</v>
      </c>
      <c r="B28" s="2">
        <f t="shared" ref="B28:B29" si="95">BB27*(1+(B12/100))</f>
        <v>22866.502452549532</v>
      </c>
      <c r="C28" s="2"/>
      <c r="D28" s="2">
        <f t="shared" ref="D28:E28" si="96">BD27*(1+(D12/100))</f>
        <v>22254.470633819565</v>
      </c>
      <c r="E28" s="2">
        <f t="shared" si="96"/>
        <v>10865.25859745341</v>
      </c>
      <c r="F28" s="2"/>
      <c r="G28" s="2">
        <f t="shared" ref="G28:H28" si="97">BG27*(1+(G12/100))</f>
        <v>21597.270415183328</v>
      </c>
      <c r="H28" s="2">
        <f t="shared" si="97"/>
        <v>33977.928829492106</v>
      </c>
      <c r="I28" s="2">
        <f t="shared" ref="I28:I29" si="98">SUM(B28:H28)</f>
        <v>111561.43092849792</v>
      </c>
      <c r="J28" s="2">
        <f t="shared" ref="J28:J29" si="99">I28-I27</f>
        <v>-6178.5674692707398</v>
      </c>
      <c r="K28" s="6">
        <f t="shared" ref="K28:K29" si="100">(J28/I27)</f>
        <v>-5.2476367872855624E-2</v>
      </c>
      <c r="L28" s="7">
        <f t="shared" ref="L28:L29" si="101">K28+1</f>
        <v>0.94752363212714441</v>
      </c>
      <c r="N28">
        <f t="shared" ref="N28:N29" si="102">A28</f>
        <v>2015</v>
      </c>
      <c r="O28" s="2">
        <f t="shared" ref="O28:O29" si="103">O27*(1+O12)</f>
        <v>4840.202226073181</v>
      </c>
      <c r="P28" s="2"/>
      <c r="Q28" s="2"/>
      <c r="R28">
        <f t="shared" ref="R28:R29" si="104">A28</f>
        <v>2015</v>
      </c>
      <c r="S28" s="2">
        <f t="shared" ref="S28:S29" si="105">B28-($O28/5)</f>
        <v>21898.462007334896</v>
      </c>
      <c r="T28" s="2"/>
      <c r="U28" s="2">
        <f t="shared" ref="U28:U29" si="106">D28-($O28/5)</f>
        <v>21286.430188604929</v>
      </c>
      <c r="V28" s="2">
        <f t="shared" ref="V28:V29" si="107">E28-($O28/5)</f>
        <v>9897.2181522387746</v>
      </c>
      <c r="W28" s="2"/>
      <c r="X28" s="2">
        <f t="shared" ref="X28:X29" si="108">G28-($O28/5)</f>
        <v>20629.229969968692</v>
      </c>
      <c r="Y28" s="2">
        <f t="shared" ref="Y28:Y29" si="109">H28-($O28/5)</f>
        <v>33009.888384277467</v>
      </c>
      <c r="Z28" s="2">
        <f t="shared" ref="Z28:Z29" si="110">SUM(S28:Y28)</f>
        <v>106721.22870242476</v>
      </c>
      <c r="AA28" s="2">
        <f t="shared" ref="AA28:AA29" si="111">Z28-Z27</f>
        <v>-6199.7710632519302</v>
      </c>
      <c r="AB28" s="6">
        <f t="shared" ref="AB28:AB29" si="112">(AA28/Z27)</f>
        <v>-5.4903614705122401E-2</v>
      </c>
      <c r="AC28" s="7">
        <f t="shared" ref="AC28:AC29" si="113">AB28+1</f>
        <v>0.94509638529487761</v>
      </c>
      <c r="AD28" s="2">
        <f t="shared" ref="AD28:AD29" si="114">Z28-(I28-O28)</f>
        <v>0</v>
      </c>
      <c r="AE28" s="2"/>
      <c r="AG28">
        <f t="shared" ref="AG28:AG29" si="115">A28</f>
        <v>2015</v>
      </c>
      <c r="AH28" s="6">
        <f t="shared" ref="AH28:AH29" si="116">S28/$Z28</f>
        <v>0.20519312112115282</v>
      </c>
      <c r="AI28" s="6"/>
      <c r="AJ28" s="6">
        <f t="shared" ref="AJ28:AJ29" si="117">U28/$Z28</f>
        <v>0.19945825631335981</v>
      </c>
      <c r="AK28" s="6">
        <f t="shared" ref="AK28:AK29" si="118">V28/$Z28</f>
        <v>9.2738982417786803E-2</v>
      </c>
      <c r="AL28" s="7"/>
      <c r="AM28" s="6">
        <f t="shared" ref="AM28:AM29" si="119">X28/$Z28</f>
        <v>0.19330015425037911</v>
      </c>
      <c r="AN28" s="6">
        <f t="shared" ref="AN28:AN29" si="120">Y28/$Z28</f>
        <v>0.30930948589732143</v>
      </c>
      <c r="AO28" s="20">
        <f t="shared" ref="AO28:AO29" si="121">SUM(AH28:AN28)</f>
        <v>0.99999999999999989</v>
      </c>
      <c r="AP28" s="22"/>
      <c r="AQ28">
        <f t="shared" ref="AQ28:AQ29" si="122">AG28</f>
        <v>2015</v>
      </c>
      <c r="AR28" s="1" t="b">
        <f t="shared" ref="AR28:AR29" si="123">AND((S28/$Z28)&gt;0.15,(S28/$Z28)&lt;0.25)</f>
        <v>1</v>
      </c>
      <c r="AS28" s="1"/>
      <c r="AT28" s="1" t="b">
        <f t="shared" ref="AT28:AT29" si="124">AND((U28/$Z28)&gt;0.15,(U28/$Z28)&lt;0.25)</f>
        <v>1</v>
      </c>
      <c r="AU28" s="1" t="b">
        <f t="shared" ref="AU28:AU29" si="125">AND((V28/$Z28)&gt;0.05,(V28/$Z28)&lt;0.15)</f>
        <v>1</v>
      </c>
      <c r="AV28" s="1"/>
      <c r="AW28" s="1" t="b">
        <f t="shared" ref="AW28:AW29" si="126">AND((X28/$Z28)&gt;0.15,(X28/$Z28)&lt;0.25)</f>
        <v>1</v>
      </c>
      <c r="AX28" s="1" t="b">
        <f t="shared" ref="AX28:AX29" si="127">AND((Y28/$Z28)&gt;0.25,(Y28/$Z28)&lt;0.35)</f>
        <v>1</v>
      </c>
      <c r="AY28" s="1" t="b">
        <f t="shared" ref="AY28:AY29" si="128">AND((Z28/$Z28)&gt;0.999,(Z28/$Z28)&lt;1.01)</f>
        <v>1</v>
      </c>
      <c r="BA28">
        <f t="shared" ref="BA28:BA29" si="129">AQ28</f>
        <v>2015</v>
      </c>
      <c r="BB28" s="2">
        <f t="shared" ref="BB28:BB29" si="130">S28</f>
        <v>21898.462007334896</v>
      </c>
      <c r="BC28" s="2"/>
      <c r="BD28" s="2">
        <f t="shared" ref="BD28:BD29" si="131">U28</f>
        <v>21286.430188604929</v>
      </c>
      <c r="BE28" s="2">
        <f t="shared" ref="BE28:BE29" si="132">V28</f>
        <v>9897.2181522387746</v>
      </c>
      <c r="BF28" s="2"/>
      <c r="BG28" s="2">
        <f t="shared" ref="BG28:BG29" si="133">X28</f>
        <v>20629.229969968692</v>
      </c>
      <c r="BH28" s="2">
        <f t="shared" ref="BH28:BH29" si="134">Y28</f>
        <v>33009.888384277467</v>
      </c>
      <c r="BI28" s="2">
        <f t="shared" ref="BI28:BI29" si="135">Z28</f>
        <v>106721.22870242476</v>
      </c>
      <c r="BJ28" s="2">
        <f t="shared" ref="BJ28:BJ29" si="136">SUM(BB28:BH28)-Z28</f>
        <v>0</v>
      </c>
      <c r="BK28" s="2"/>
    </row>
    <row r="29" spans="1:63" x14ac:dyDescent="0.55000000000000004">
      <c r="A29">
        <f t="shared" si="94"/>
        <v>2016</v>
      </c>
      <c r="B29" s="2">
        <f t="shared" si="95"/>
        <v>24486.860216601883</v>
      </c>
      <c r="C29" s="2"/>
      <c r="D29" s="2">
        <f t="shared" ref="D29:E29" si="137">BD28*(1+(D13/100))</f>
        <v>23642.838010483494</v>
      </c>
      <c r="E29" s="2">
        <f t="shared" si="137"/>
        <v>11695.542690500559</v>
      </c>
      <c r="F29" s="2"/>
      <c r="G29" s="2">
        <f t="shared" ref="G29:H29" si="138">BG28*(1+(G13/100))</f>
        <v>21588.489163572234</v>
      </c>
      <c r="H29" s="2">
        <f t="shared" si="138"/>
        <v>33835.135593884399</v>
      </c>
      <c r="I29" s="2">
        <f t="shared" si="98"/>
        <v>115248.86567504256</v>
      </c>
      <c r="J29" s="2">
        <f t="shared" si="99"/>
        <v>3687.4347465446335</v>
      </c>
      <c r="K29" s="6">
        <f t="shared" si="100"/>
        <v>3.3052953120581506E-2</v>
      </c>
      <c r="L29" s="7">
        <f t="shared" si="101"/>
        <v>1.0330529531205814</v>
      </c>
      <c r="N29">
        <f t="shared" si="102"/>
        <v>2016</v>
      </c>
      <c r="O29" s="2">
        <f t="shared" si="103"/>
        <v>4922.4856639164245</v>
      </c>
      <c r="P29" s="2"/>
      <c r="Q29" s="2"/>
      <c r="R29">
        <f t="shared" si="104"/>
        <v>2016</v>
      </c>
      <c r="S29" s="2">
        <f t="shared" si="105"/>
        <v>23502.363083818596</v>
      </c>
      <c r="T29" s="2"/>
      <c r="U29" s="2">
        <f t="shared" si="106"/>
        <v>22658.340877700208</v>
      </c>
      <c r="V29" s="2">
        <f t="shared" si="107"/>
        <v>10711.045557717274</v>
      </c>
      <c r="W29" s="2"/>
      <c r="X29" s="2">
        <f t="shared" si="108"/>
        <v>20603.992030788948</v>
      </c>
      <c r="Y29" s="2">
        <f t="shared" si="109"/>
        <v>32850.638461101116</v>
      </c>
      <c r="Z29" s="2">
        <f t="shared" si="110"/>
        <v>110326.38001112615</v>
      </c>
      <c r="AA29" s="2">
        <f t="shared" si="111"/>
        <v>3605.1513087013882</v>
      </c>
      <c r="AB29" s="6">
        <f t="shared" si="112"/>
        <v>3.3781013885754461E-2</v>
      </c>
      <c r="AC29" s="7">
        <f t="shared" si="113"/>
        <v>1.0337810138857544</v>
      </c>
      <c r="AD29" s="2">
        <f t="shared" si="114"/>
        <v>0</v>
      </c>
      <c r="AE29" s="2"/>
      <c r="AG29">
        <f t="shared" si="115"/>
        <v>2016</v>
      </c>
      <c r="AH29" s="6">
        <f t="shared" si="116"/>
        <v>0.21302577934169906</v>
      </c>
      <c r="AI29" s="6"/>
      <c r="AJ29" s="6">
        <f t="shared" si="117"/>
        <v>0.20537554912447203</v>
      </c>
      <c r="AK29" s="6">
        <f t="shared" si="118"/>
        <v>9.708508116224869E-2</v>
      </c>
      <c r="AL29" s="7"/>
      <c r="AM29" s="6">
        <f t="shared" si="119"/>
        <v>0.18675489967776596</v>
      </c>
      <c r="AN29" s="6">
        <f t="shared" si="120"/>
        <v>0.29775869069381417</v>
      </c>
      <c r="AO29" s="20">
        <f t="shared" si="121"/>
        <v>0.99999999999999978</v>
      </c>
      <c r="AP29" s="22"/>
      <c r="AQ29">
        <f t="shared" si="122"/>
        <v>2016</v>
      </c>
      <c r="AR29" s="1" t="b">
        <f t="shared" si="123"/>
        <v>1</v>
      </c>
      <c r="AS29" s="1"/>
      <c r="AT29" s="1" t="b">
        <f t="shared" si="124"/>
        <v>1</v>
      </c>
      <c r="AU29" s="1" t="b">
        <f t="shared" si="125"/>
        <v>1</v>
      </c>
      <c r="AV29" s="1"/>
      <c r="AW29" s="1" t="b">
        <f t="shared" si="126"/>
        <v>1</v>
      </c>
      <c r="AX29" s="1" t="b">
        <f t="shared" si="127"/>
        <v>1</v>
      </c>
      <c r="AY29" s="1" t="b">
        <f t="shared" si="128"/>
        <v>1</v>
      </c>
      <c r="BA29">
        <f t="shared" si="129"/>
        <v>2016</v>
      </c>
      <c r="BB29" s="2">
        <f t="shared" si="130"/>
        <v>23502.363083818596</v>
      </c>
      <c r="BC29" s="2"/>
      <c r="BD29" s="2">
        <f t="shared" si="131"/>
        <v>22658.340877700208</v>
      </c>
      <c r="BE29" s="2">
        <f t="shared" si="132"/>
        <v>10711.045557717274</v>
      </c>
      <c r="BF29" s="2"/>
      <c r="BG29" s="2">
        <f t="shared" si="133"/>
        <v>20603.992030788948</v>
      </c>
      <c r="BH29" s="2">
        <f t="shared" si="134"/>
        <v>32850.638461101116</v>
      </c>
      <c r="BI29" s="2">
        <f t="shared" si="135"/>
        <v>110326.38001112615</v>
      </c>
      <c r="BJ29" s="2">
        <f t="shared" si="136"/>
        <v>0</v>
      </c>
      <c r="BK29" s="2"/>
    </row>
    <row r="30" spans="1:63" x14ac:dyDescent="0.55000000000000004">
      <c r="A30" s="9" t="s">
        <v>46</v>
      </c>
      <c r="B30" s="10">
        <f>BB29</f>
        <v>23502.363083818596</v>
      </c>
      <c r="C30" s="10"/>
      <c r="D30" s="10">
        <f>BD29</f>
        <v>22658.340877700208</v>
      </c>
      <c r="E30" s="10">
        <f>BE29</f>
        <v>10711.045557717274</v>
      </c>
      <c r="F30" s="10"/>
      <c r="G30" s="10">
        <f>BG29</f>
        <v>20603.992030788948</v>
      </c>
      <c r="H30" s="10">
        <f>BH29</f>
        <v>32850.638461101116</v>
      </c>
      <c r="I30" s="10">
        <f t="shared" si="7"/>
        <v>110326.38001112615</v>
      </c>
      <c r="J30" s="10"/>
      <c r="K30" s="10"/>
      <c r="N30" t="s">
        <v>79</v>
      </c>
      <c r="O30" s="2">
        <f>O27</f>
        <v>4818.9986320919761</v>
      </c>
      <c r="P30" s="2"/>
      <c r="R30" s="9" t="s">
        <v>46</v>
      </c>
      <c r="S30" s="10">
        <f>S29</f>
        <v>23502.363083818596</v>
      </c>
      <c r="T30" s="10"/>
      <c r="U30" s="10">
        <f>U29</f>
        <v>22658.340877700208</v>
      </c>
      <c r="V30" s="10">
        <f>V29</f>
        <v>10711.045557717274</v>
      </c>
      <c r="W30" s="10"/>
      <c r="X30" s="10">
        <f>X29</f>
        <v>20603.992030788948</v>
      </c>
      <c r="Y30" s="10">
        <f>Y29</f>
        <v>32850.638461101116</v>
      </c>
      <c r="Z30" s="10">
        <f>Z29</f>
        <v>110326.38001112615</v>
      </c>
      <c r="AA30" s="10"/>
      <c r="AB30" s="10"/>
      <c r="AD30" s="40"/>
      <c r="AE30" s="40"/>
      <c r="AK30" s="7"/>
    </row>
    <row r="31" spans="1:63" x14ac:dyDescent="0.55000000000000004">
      <c r="A31" s="11" t="s">
        <v>95</v>
      </c>
      <c r="I31" s="6">
        <f>(Z30-Z19)/Z19</f>
        <v>0.10326380011126152</v>
      </c>
      <c r="K31" s="6"/>
      <c r="N31" t="s">
        <v>38</v>
      </c>
      <c r="O31" s="2">
        <f>SUM(O20:O29)</f>
        <v>46178.116777487026</v>
      </c>
      <c r="P31" s="2"/>
      <c r="AB31" s="6"/>
    </row>
    <row r="32" spans="1:63" x14ac:dyDescent="0.55000000000000004">
      <c r="A32" s="1" t="s">
        <v>96</v>
      </c>
      <c r="I32" s="12">
        <f>STDEV(AC20:AC29)</f>
        <v>0.14041818964139585</v>
      </c>
    </row>
    <row r="33" spans="1:16" x14ac:dyDescent="0.55000000000000004">
      <c r="A33" s="1" t="s">
        <v>97</v>
      </c>
      <c r="I33" s="13">
        <f>((1+I31)^(1/I40))-1</f>
        <v>9.8757341299484658E-3</v>
      </c>
    </row>
    <row r="34" spans="1:16" x14ac:dyDescent="0.55000000000000004">
      <c r="A34" s="1" t="s">
        <v>50</v>
      </c>
      <c r="I34" s="27">
        <f>AA21</f>
        <v>-31867.716366959998</v>
      </c>
      <c r="O34" s="2"/>
      <c r="P34" s="2"/>
    </row>
    <row r="35" spans="1:16" x14ac:dyDescent="0.55000000000000004">
      <c r="A35" s="1" t="s">
        <v>51</v>
      </c>
      <c r="I35" s="28">
        <f>AB21</f>
        <v>-0.308571233597978</v>
      </c>
    </row>
    <row r="36" spans="1:16" x14ac:dyDescent="0.55000000000000004">
      <c r="A36" s="1" t="s">
        <v>81</v>
      </c>
      <c r="I36" s="2">
        <f>O31</f>
        <v>46178.116777487026</v>
      </c>
    </row>
    <row r="37" spans="1:16" x14ac:dyDescent="0.55000000000000004">
      <c r="A37" s="3" t="s">
        <v>52</v>
      </c>
      <c r="I37" s="29">
        <f>I30-Z29</f>
        <v>0</v>
      </c>
    </row>
    <row r="38" spans="1:16" x14ac:dyDescent="0.55000000000000004">
      <c r="A38" s="3" t="s">
        <v>147</v>
      </c>
      <c r="I38" s="29">
        <f>((SUM(AA20:AA29)))-(I30-I19)</f>
        <v>0</v>
      </c>
    </row>
    <row r="39" spans="1:16" x14ac:dyDescent="0.55000000000000004">
      <c r="A39" s="3" t="s">
        <v>148</v>
      </c>
      <c r="I39" s="29">
        <f>(SUM(O20:O29))-I36</f>
        <v>0</v>
      </c>
    </row>
    <row r="40" spans="1:16" x14ac:dyDescent="0.55000000000000004">
      <c r="A40" s="3" t="s">
        <v>154</v>
      </c>
      <c r="I40" s="3">
        <f>COUNTA(I20:I29)</f>
        <v>10</v>
      </c>
    </row>
    <row r="42" spans="1:16" x14ac:dyDescent="0.55000000000000004">
      <c r="B42" s="2"/>
      <c r="D42" s="2"/>
      <c r="E42" s="2"/>
      <c r="G42" s="2"/>
      <c r="H42" s="2"/>
      <c r="I42"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40"/>
  <sheetViews>
    <sheetView topLeftCell="A7" zoomScaleNormal="100" workbookViewId="0">
      <selection activeCell="I33" sqref="I33"/>
    </sheetView>
  </sheetViews>
  <sheetFormatPr defaultColWidth="8.83984375" defaultRowHeight="14.4" x14ac:dyDescent="0.55000000000000004"/>
  <cols>
    <col min="1" max="1" width="25.41796875" customWidth="1"/>
    <col min="9" max="9" width="11.68359375" customWidth="1"/>
    <col min="10" max="10" width="10" bestFit="1" customWidth="1"/>
    <col min="15" max="15" width="9.83984375" bestFit="1" customWidth="1"/>
    <col min="16" max="16" width="9.83984375" customWidth="1"/>
    <col min="19" max="19" width="10.83984375" bestFit="1" customWidth="1"/>
    <col min="21" max="21" width="11.83984375" bestFit="1" customWidth="1"/>
    <col min="25" max="26" width="10.83984375" bestFit="1" customWidth="1"/>
    <col min="27" max="31" width="10.83984375" customWidth="1"/>
    <col min="44" max="44" width="10.83984375" bestFit="1" customWidth="1"/>
    <col min="51" max="51" width="9.26171875" bestFit="1" customWidth="1"/>
  </cols>
  <sheetData>
    <row r="1" spans="1:54" x14ac:dyDescent="0.55000000000000004">
      <c r="A1" s="18" t="s">
        <v>19</v>
      </c>
      <c r="N1" s="18" t="s">
        <v>144</v>
      </c>
    </row>
    <row r="2" spans="1:54" x14ac:dyDescent="0.55000000000000004">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6"/>
      <c r="O2" s="47"/>
      <c r="P2" s="41"/>
    </row>
    <row r="3" spans="1:54" x14ac:dyDescent="0.55000000000000004">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6"/>
      <c r="O3" s="47"/>
      <c r="P3" s="41"/>
    </row>
    <row r="4" spans="1:54" x14ac:dyDescent="0.55000000000000004">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54" x14ac:dyDescent="0.55000000000000004">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54" x14ac:dyDescent="0.55000000000000004">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54" x14ac:dyDescent="0.55000000000000004">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54" x14ac:dyDescent="0.55000000000000004">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54" x14ac:dyDescent="0.55000000000000004">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54" x14ac:dyDescent="0.55000000000000004">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54" x14ac:dyDescent="0.55000000000000004">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54" x14ac:dyDescent="0.55000000000000004">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3" spans="1:54" x14ac:dyDescent="0.55000000000000004">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 Withdrawals-No Rebalancing'!N13</f>
        <v>2016</v>
      </c>
      <c r="O13" s="47">
        <f>'4% Withdrawals-No Rebalancing'!O13</f>
        <v>1.7000000000000001E-2</v>
      </c>
      <c r="P13" s="41"/>
    </row>
    <row r="16" spans="1:54" x14ac:dyDescent="0.55000000000000004">
      <c r="A16" s="18" t="s">
        <v>109</v>
      </c>
      <c r="N16" s="18" t="s">
        <v>67</v>
      </c>
      <c r="R16" s="18" t="s">
        <v>111</v>
      </c>
      <c r="AG16" s="18" t="s">
        <v>112</v>
      </c>
      <c r="AQ16" s="18" t="s">
        <v>92</v>
      </c>
      <c r="BB16" s="18"/>
    </row>
    <row r="17" spans="1:76" x14ac:dyDescent="0.55000000000000004">
      <c r="B17" s="4" t="str">
        <f t="shared" ref="B17:H18" si="0">B2</f>
        <v>LC Stocks</v>
      </c>
      <c r="C17" s="4" t="str">
        <f t="shared" si="0"/>
        <v>Ext Mkt</v>
      </c>
      <c r="D17" s="4" t="str">
        <f t="shared" si="0"/>
        <v>Mcap Stk</v>
      </c>
      <c r="E17" s="4" t="str">
        <f t="shared" si="0"/>
        <v>Small Cap</v>
      </c>
      <c r="F17" s="4" t="str">
        <f t="shared" si="0"/>
        <v>Intl Val</v>
      </c>
      <c r="G17" s="4" t="str">
        <f t="shared" si="0"/>
        <v>Tot Int Stk</v>
      </c>
      <c r="H17" s="4" t="str">
        <f t="shared" si="0"/>
        <v>Bonds</v>
      </c>
      <c r="I17" s="5"/>
      <c r="J17" s="5" t="s">
        <v>44</v>
      </c>
      <c r="K17" s="5" t="s">
        <v>41</v>
      </c>
      <c r="L17" s="5" t="s">
        <v>42</v>
      </c>
      <c r="S17" s="4" t="str">
        <f t="shared" ref="S17:Z19" si="1">B17</f>
        <v>LC Stocks</v>
      </c>
      <c r="T17" s="4" t="str">
        <f t="shared" si="1"/>
        <v>Ext Mkt</v>
      </c>
      <c r="U17" s="4" t="str">
        <f t="shared" si="1"/>
        <v>Mcap Stk</v>
      </c>
      <c r="V17" s="4" t="str">
        <f t="shared" si="1"/>
        <v>Small Cap</v>
      </c>
      <c r="W17" s="4" t="str">
        <f t="shared" si="1"/>
        <v>Intl Val</v>
      </c>
      <c r="X17" s="4" t="str">
        <f t="shared" si="1"/>
        <v>Tot Int Stk</v>
      </c>
      <c r="Y17" s="4" t="str">
        <f t="shared" si="1"/>
        <v>Bonds</v>
      </c>
      <c r="Z17" s="5"/>
      <c r="AA17" s="5" t="s">
        <v>44</v>
      </c>
      <c r="AB17" s="5" t="s">
        <v>41</v>
      </c>
      <c r="AC17" s="5" t="s">
        <v>42</v>
      </c>
      <c r="AD17" s="5" t="s">
        <v>56</v>
      </c>
      <c r="AE17" s="5"/>
      <c r="AH17" s="4" t="str">
        <f t="shared" ref="AH17:AN18" si="2">B17</f>
        <v>LC Stocks</v>
      </c>
      <c r="AI17" s="4" t="str">
        <f t="shared" si="2"/>
        <v>Ext Mkt</v>
      </c>
      <c r="AJ17" s="4" t="str">
        <f t="shared" si="2"/>
        <v>Mcap Stk</v>
      </c>
      <c r="AK17" s="4" t="str">
        <f t="shared" si="2"/>
        <v>Small Cap</v>
      </c>
      <c r="AL17" s="4" t="str">
        <f t="shared" si="2"/>
        <v>Intl Val</v>
      </c>
      <c r="AM17" s="4" t="str">
        <f t="shared" si="2"/>
        <v>Tot Int Stk</v>
      </c>
      <c r="AN17" s="4" t="str">
        <f t="shared" si="2"/>
        <v>Bonds</v>
      </c>
      <c r="AO17" s="5"/>
      <c r="AR17" s="4" t="str">
        <f>AH17</f>
        <v>LC Stocks</v>
      </c>
      <c r="AS17" s="4" t="str">
        <f t="shared" ref="AS17:AY18" si="3">AI17</f>
        <v>Ext Mkt</v>
      </c>
      <c r="AT17" s="4" t="str">
        <f t="shared" si="3"/>
        <v>Mcap Stk</v>
      </c>
      <c r="AU17" s="4" t="str">
        <f t="shared" si="3"/>
        <v>Small Cap</v>
      </c>
      <c r="AV17" s="4" t="str">
        <f t="shared" si="3"/>
        <v>Intl Val</v>
      </c>
      <c r="AW17" s="4" t="str">
        <f t="shared" si="3"/>
        <v>Tot Int Stk</v>
      </c>
      <c r="AX17" s="4" t="str">
        <f t="shared" si="3"/>
        <v>Bonds</v>
      </c>
      <c r="AY17" s="4"/>
      <c r="AZ17" t="s">
        <v>56</v>
      </c>
    </row>
    <row r="18" spans="1:76" x14ac:dyDescent="0.55000000000000004">
      <c r="A18" t="s">
        <v>40</v>
      </c>
      <c r="B18" s="4" t="str">
        <f t="shared" si="0"/>
        <v>VFINX</v>
      </c>
      <c r="C18" s="4" t="str">
        <f t="shared" si="0"/>
        <v>VEXMX</v>
      </c>
      <c r="D18" s="4" t="str">
        <f t="shared" si="0"/>
        <v>VIMSX</v>
      </c>
      <c r="E18" s="4" t="str">
        <f t="shared" si="0"/>
        <v>NAESX</v>
      </c>
      <c r="F18" s="4" t="str">
        <f t="shared" si="0"/>
        <v>VTRIX</v>
      </c>
      <c r="G18" s="4" t="str">
        <f t="shared" si="0"/>
        <v>VGTSX</v>
      </c>
      <c r="H18" s="4" t="str">
        <f t="shared" si="0"/>
        <v>VBMFX</v>
      </c>
      <c r="I18" s="5" t="s">
        <v>38</v>
      </c>
      <c r="J18" s="5" t="s">
        <v>45</v>
      </c>
      <c r="K18" s="5" t="s">
        <v>43</v>
      </c>
      <c r="L18" s="5" t="s">
        <v>43</v>
      </c>
      <c r="R18" t="str">
        <f>A18</f>
        <v>Fund</v>
      </c>
      <c r="S18" s="4" t="str">
        <f t="shared" si="1"/>
        <v>VFINX</v>
      </c>
      <c r="T18" s="4" t="str">
        <f t="shared" si="1"/>
        <v>VEXMX</v>
      </c>
      <c r="U18" s="4" t="str">
        <f t="shared" si="1"/>
        <v>VIMSX</v>
      </c>
      <c r="V18" s="4" t="str">
        <f t="shared" si="1"/>
        <v>NAESX</v>
      </c>
      <c r="W18" s="4" t="str">
        <f t="shared" si="1"/>
        <v>VTRIX</v>
      </c>
      <c r="X18" s="4" t="str">
        <f t="shared" si="1"/>
        <v>VGTSX</v>
      </c>
      <c r="Y18" s="4" t="str">
        <f t="shared" si="1"/>
        <v>VBMFX</v>
      </c>
      <c r="Z18" s="5" t="str">
        <f t="shared" si="1"/>
        <v>Total</v>
      </c>
      <c r="AA18" s="5" t="s">
        <v>45</v>
      </c>
      <c r="AB18" s="5" t="s">
        <v>43</v>
      </c>
      <c r="AC18" s="5" t="s">
        <v>43</v>
      </c>
      <c r="AD18" s="5" t="s">
        <v>55</v>
      </c>
      <c r="AE18" s="5"/>
      <c r="AG18" t="s">
        <v>40</v>
      </c>
      <c r="AH18" s="4" t="str">
        <f t="shared" si="2"/>
        <v>VFINX</v>
      </c>
      <c r="AI18" s="4" t="str">
        <f t="shared" si="2"/>
        <v>VEXMX</v>
      </c>
      <c r="AJ18" s="4" t="str">
        <f t="shared" si="2"/>
        <v>VIMSX</v>
      </c>
      <c r="AK18" s="4" t="str">
        <f t="shared" si="2"/>
        <v>NAESX</v>
      </c>
      <c r="AL18" s="4" t="str">
        <f t="shared" si="2"/>
        <v>VTRIX</v>
      </c>
      <c r="AM18" s="4" t="str">
        <f t="shared" si="2"/>
        <v>VGTSX</v>
      </c>
      <c r="AN18" s="4" t="str">
        <f t="shared" si="2"/>
        <v>VBMFX</v>
      </c>
      <c r="AO18" s="5" t="s">
        <v>38</v>
      </c>
      <c r="AQ18" t="s">
        <v>40</v>
      </c>
      <c r="AR18" s="4" t="str">
        <f>AH18</f>
        <v>VFINX</v>
      </c>
      <c r="AS18" s="4" t="str">
        <f t="shared" si="3"/>
        <v>VEXMX</v>
      </c>
      <c r="AT18" s="4" t="str">
        <f t="shared" si="3"/>
        <v>VIMSX</v>
      </c>
      <c r="AU18" s="4" t="str">
        <f t="shared" si="3"/>
        <v>NAESX</v>
      </c>
      <c r="AV18" s="4" t="str">
        <f t="shared" si="3"/>
        <v>VTRIX</v>
      </c>
      <c r="AW18" s="4" t="str">
        <f t="shared" si="3"/>
        <v>VGTSX</v>
      </c>
      <c r="AX18" s="4" t="str">
        <f t="shared" si="3"/>
        <v>VBMFX</v>
      </c>
      <c r="AY18" s="4" t="str">
        <f t="shared" si="3"/>
        <v>Total</v>
      </c>
      <c r="AZ18" t="s">
        <v>55</v>
      </c>
    </row>
    <row r="19" spans="1:76" x14ac:dyDescent="0.55000000000000004">
      <c r="A19" t="s">
        <v>39</v>
      </c>
      <c r="B19" s="2">
        <f>'Non-Rebalanced Strategy'!B19</f>
        <v>20000</v>
      </c>
      <c r="C19" s="2"/>
      <c r="D19" s="2">
        <f>'Non-Rebalanced Strategy'!D19</f>
        <v>20000</v>
      </c>
      <c r="E19" s="2">
        <f>'Non-Rebalanced Strategy'!E19</f>
        <v>10000</v>
      </c>
      <c r="F19" s="2"/>
      <c r="G19" s="2">
        <f>'Non-Rebalanced Strategy'!G19</f>
        <v>20000</v>
      </c>
      <c r="H19" s="2">
        <f>'Non-Rebalanced Strategy'!H19</f>
        <v>30000</v>
      </c>
      <c r="I19" s="2">
        <f>SUM(B19:H19)</f>
        <v>100000</v>
      </c>
      <c r="N19" s="19"/>
      <c r="R19" t="str">
        <f>A19</f>
        <v>Stating Balance</v>
      </c>
      <c r="S19" s="2">
        <f>B19</f>
        <v>20000</v>
      </c>
      <c r="T19" s="2">
        <f t="shared" si="1"/>
        <v>0</v>
      </c>
      <c r="U19" s="2">
        <f t="shared" si="1"/>
        <v>20000</v>
      </c>
      <c r="V19" s="2">
        <f t="shared" si="1"/>
        <v>10000</v>
      </c>
      <c r="W19" s="2">
        <f t="shared" si="1"/>
        <v>0</v>
      </c>
      <c r="X19" s="2">
        <f t="shared" si="1"/>
        <v>20000</v>
      </c>
      <c r="Y19" s="2">
        <f t="shared" si="1"/>
        <v>30000</v>
      </c>
      <c r="Z19" s="2">
        <f t="shared" si="1"/>
        <v>100000</v>
      </c>
      <c r="AD19" s="2"/>
      <c r="AE19" s="2"/>
      <c r="AG19" s="19" t="s">
        <v>54</v>
      </c>
      <c r="AH19" s="6">
        <f t="shared" ref="AH19:AM24" si="4">S19/$Z19</f>
        <v>0.2</v>
      </c>
      <c r="AI19" s="6"/>
      <c r="AJ19" s="6">
        <f t="shared" si="4"/>
        <v>0.2</v>
      </c>
      <c r="AK19" s="6">
        <f t="shared" si="4"/>
        <v>0.1</v>
      </c>
      <c r="AL19" s="6"/>
      <c r="AM19" s="6">
        <f t="shared" si="4"/>
        <v>0.2</v>
      </c>
      <c r="AN19" s="6">
        <f>Y19/$Z19</f>
        <v>0.3</v>
      </c>
      <c r="AO19" s="55">
        <f>SUM(AH19:AN19)</f>
        <v>1</v>
      </c>
      <c r="AQ19" s="19" t="str">
        <f>AG19</f>
        <v>Target Allocation</v>
      </c>
      <c r="AR19" s="22">
        <f>AH19</f>
        <v>0.2</v>
      </c>
      <c r="AS19" s="22"/>
      <c r="AT19" s="22">
        <f>AJ19</f>
        <v>0.2</v>
      </c>
      <c r="AU19" s="22">
        <f>AK19</f>
        <v>0.1</v>
      </c>
      <c r="AV19" s="22"/>
      <c r="AW19" s="22">
        <f>AM19</f>
        <v>0.2</v>
      </c>
      <c r="AX19" s="22">
        <f>AN19</f>
        <v>0.3</v>
      </c>
      <c r="AY19" s="22">
        <f>SUM(AR19:AX19)</f>
        <v>1</v>
      </c>
      <c r="AZ19" s="2"/>
      <c r="BA19" s="2"/>
      <c r="BB19" s="19"/>
      <c r="BC19" s="22"/>
    </row>
    <row r="20" spans="1:76" x14ac:dyDescent="0.55000000000000004">
      <c r="A20">
        <f t="shared" ref="A20:A27" si="5">A4</f>
        <v>2007</v>
      </c>
      <c r="B20" s="2">
        <f>B19*(1+(B4/100))</f>
        <v>21078</v>
      </c>
      <c r="C20" s="2"/>
      <c r="D20" s="2">
        <f>D19*(1+(D4/100))</f>
        <v>21204.2</v>
      </c>
      <c r="E20" s="2">
        <f>E19*(1+(E4/100))</f>
        <v>10115.6</v>
      </c>
      <c r="F20" s="2"/>
      <c r="G20" s="2">
        <f>G19*(1+(G4/100))</f>
        <v>23104.399999999998</v>
      </c>
      <c r="H20" s="2">
        <f>H19*(1+(H4/100))</f>
        <v>32075.999999999996</v>
      </c>
      <c r="I20" s="2">
        <f>SUM(B20:H20)</f>
        <v>107578.2</v>
      </c>
      <c r="J20" s="2">
        <f>I20-I19</f>
        <v>7578.1999999999971</v>
      </c>
      <c r="K20" s="6">
        <f>(J20/I19)</f>
        <v>7.5781999999999974E-2</v>
      </c>
      <c r="L20" s="7">
        <f>K20+1</f>
        <v>1.075782</v>
      </c>
      <c r="N20">
        <f t="shared" ref="N20:N24" si="6">A20</f>
        <v>2007</v>
      </c>
      <c r="O20" s="2">
        <f>I20*0.04</f>
        <v>4303.1279999999997</v>
      </c>
      <c r="P20" s="2"/>
      <c r="Q20" s="2"/>
      <c r="R20">
        <f t="shared" ref="R20:R24" si="7">A20</f>
        <v>2007</v>
      </c>
      <c r="S20" s="2">
        <f t="shared" ref="S20:S24" si="8">B20-($O20/5)</f>
        <v>20217.374400000001</v>
      </c>
      <c r="T20" s="2"/>
      <c r="U20" s="2">
        <f t="shared" ref="U20:V24" si="9">D20-($O20/5)</f>
        <v>20343.574400000001</v>
      </c>
      <c r="V20" s="2">
        <f t="shared" si="9"/>
        <v>9254.974400000001</v>
      </c>
      <c r="W20" s="2"/>
      <c r="X20" s="2">
        <f t="shared" ref="X20:Y24" si="10">G20-($O20/5)</f>
        <v>22243.774399999998</v>
      </c>
      <c r="Y20" s="2">
        <f t="shared" si="10"/>
        <v>31215.374399999997</v>
      </c>
      <c r="Z20" s="2">
        <f>SUM(S20:Y20)</f>
        <v>103275.072</v>
      </c>
      <c r="AA20" s="2">
        <f>Z20-Z19</f>
        <v>3275.0720000000001</v>
      </c>
      <c r="AB20" s="6">
        <f>(AA20/Z19)</f>
        <v>3.2750720000000004E-2</v>
      </c>
      <c r="AC20" s="7">
        <f>AB20+1</f>
        <v>1.0327507199999999</v>
      </c>
      <c r="AD20" s="2">
        <f>Z20-(I20-O20)</f>
        <v>0</v>
      </c>
      <c r="AE20" s="2"/>
      <c r="AG20">
        <f t="shared" ref="AG20:AG24" si="11">A20</f>
        <v>2007</v>
      </c>
      <c r="AH20" s="6">
        <f t="shared" si="4"/>
        <v>0.19576238494416157</v>
      </c>
      <c r="AI20" s="6"/>
      <c r="AJ20" s="6">
        <f t="shared" si="4"/>
        <v>0.19698436424232171</v>
      </c>
      <c r="AK20" s="6">
        <f t="shared" si="4"/>
        <v>8.9614794942965523E-2</v>
      </c>
      <c r="AL20" s="6"/>
      <c r="AM20" s="6">
        <f t="shared" si="4"/>
        <v>0.21538377044171897</v>
      </c>
      <c r="AN20" s="6">
        <f t="shared" ref="AN20:AN24" si="12">Y20/$Z20</f>
        <v>0.30225468542883221</v>
      </c>
      <c r="AO20" s="55">
        <f t="shared" ref="AO20:AO24" si="13">SUM(AH20:AN20)</f>
        <v>1</v>
      </c>
      <c r="AQ20">
        <f>AG20</f>
        <v>2007</v>
      </c>
      <c r="AR20" s="2">
        <f t="shared" ref="AR20:AX20" si="14">S20</f>
        <v>20217.374400000001</v>
      </c>
      <c r="AS20" s="2"/>
      <c r="AT20" s="2">
        <f t="shared" si="14"/>
        <v>20343.574400000001</v>
      </c>
      <c r="AU20" s="2">
        <f t="shared" si="14"/>
        <v>9254.974400000001</v>
      </c>
      <c r="AV20" s="2"/>
      <c r="AW20" s="2">
        <f t="shared" si="14"/>
        <v>22243.774399999998</v>
      </c>
      <c r="AX20" s="2">
        <f t="shared" si="14"/>
        <v>31215.374399999997</v>
      </c>
      <c r="AY20" s="2">
        <f t="shared" ref="AY20:AY24" si="15">Z20</f>
        <v>103275.072</v>
      </c>
      <c r="AZ20" s="2">
        <f t="shared" ref="AZ20:AZ30" si="16">SUM(AR20:AX20)-Z20</f>
        <v>0</v>
      </c>
      <c r="BA20" s="2"/>
      <c r="BC20" s="22"/>
      <c r="BX20" s="2"/>
    </row>
    <row r="21" spans="1:76" x14ac:dyDescent="0.55000000000000004">
      <c r="A21">
        <f t="shared" si="5"/>
        <v>2008</v>
      </c>
      <c r="B21" s="2">
        <f t="shared" ref="B21:B27" si="17">AR20*(1+(B5/100))</f>
        <v>12732.902397119999</v>
      </c>
      <c r="C21" s="2"/>
      <c r="D21" s="2">
        <f t="shared" ref="D21:E27" si="18">AT20*(1+(D5/100))</f>
        <v>11835.077842944002</v>
      </c>
      <c r="E21" s="2">
        <f t="shared" si="18"/>
        <v>5916.7051339200007</v>
      </c>
      <c r="F21" s="2"/>
      <c r="G21" s="2">
        <f t="shared" ref="G21:H27" si="19">AW20*(1+(G5/100))</f>
        <v>12434.047451855999</v>
      </c>
      <c r="H21" s="2">
        <f t="shared" si="19"/>
        <v>32791.750807199998</v>
      </c>
      <c r="I21" s="2">
        <f>SUM(B21:H21)</f>
        <v>75710.483633039999</v>
      </c>
      <c r="J21" s="2">
        <f t="shared" ref="J21:J24" si="20">I21-I20</f>
        <v>-31867.716366959998</v>
      </c>
      <c r="K21" s="6">
        <f t="shared" ref="K21:K24" si="21">(J21/I20)</f>
        <v>-0.2962283842540589</v>
      </c>
      <c r="L21" s="7">
        <f t="shared" ref="L21:L24" si="22">K21+1</f>
        <v>0.70377161574594105</v>
      </c>
      <c r="N21">
        <f t="shared" si="6"/>
        <v>2008</v>
      </c>
      <c r="O21" s="2">
        <f t="shared" ref="O21:O27" si="23">O20*(1+O5)</f>
        <v>4303.1279999999997</v>
      </c>
      <c r="P21" s="2"/>
      <c r="Q21" s="2"/>
      <c r="R21">
        <f t="shared" si="7"/>
        <v>2008</v>
      </c>
      <c r="S21" s="2">
        <f t="shared" si="8"/>
        <v>11872.276797119999</v>
      </c>
      <c r="T21" s="2"/>
      <c r="U21" s="2">
        <f t="shared" si="9"/>
        <v>10974.452242944002</v>
      </c>
      <c r="V21" s="2">
        <f t="shared" si="9"/>
        <v>5056.0795339200004</v>
      </c>
      <c r="W21" s="2"/>
      <c r="X21" s="2">
        <f t="shared" si="10"/>
        <v>11573.421851855999</v>
      </c>
      <c r="Y21" s="2">
        <f t="shared" si="10"/>
        <v>31931.125207199999</v>
      </c>
      <c r="Z21" s="2">
        <f>SUM(S21:Y21)</f>
        <v>71407.355633040002</v>
      </c>
      <c r="AA21" s="2">
        <f t="shared" ref="AA21:AA24" si="24">Z21-Z20</f>
        <v>-31867.716366959998</v>
      </c>
      <c r="AB21" s="6">
        <f t="shared" ref="AB21:AB24" si="25">(AA21/Z20)</f>
        <v>-0.308571233597978</v>
      </c>
      <c r="AC21" s="7">
        <f t="shared" ref="AC21:AC24" si="26">AB21+1</f>
        <v>0.691428766402022</v>
      </c>
      <c r="AD21" s="2">
        <f>Z21-(I21-O21)</f>
        <v>0</v>
      </c>
      <c r="AE21" s="2"/>
      <c r="AG21">
        <f t="shared" si="11"/>
        <v>2008</v>
      </c>
      <c r="AH21" s="6">
        <f t="shared" si="4"/>
        <v>0.16626125826772287</v>
      </c>
      <c r="AI21" s="6"/>
      <c r="AJ21" s="6">
        <f t="shared" si="4"/>
        <v>0.15368797997984049</v>
      </c>
      <c r="AK21" s="6">
        <f t="shared" si="4"/>
        <v>7.0806144396426365E-2</v>
      </c>
      <c r="AL21" s="6"/>
      <c r="AM21" s="6">
        <f t="shared" si="4"/>
        <v>0.16207604593750011</v>
      </c>
      <c r="AN21" s="6">
        <f t="shared" si="12"/>
        <v>0.44716857141851013</v>
      </c>
      <c r="AO21" s="55">
        <f t="shared" si="13"/>
        <v>1</v>
      </c>
      <c r="AQ21">
        <f t="shared" ref="AQ21:AQ24" si="27">AG21</f>
        <v>2008</v>
      </c>
      <c r="AR21" s="36">
        <v>0</v>
      </c>
      <c r="AS21" s="36"/>
      <c r="AT21" s="36">
        <v>0</v>
      </c>
      <c r="AU21" s="36">
        <v>0</v>
      </c>
      <c r="AV21" s="36"/>
      <c r="AW21" s="36">
        <v>0</v>
      </c>
      <c r="AX21" s="36">
        <f>Z21</f>
        <v>71407.355633040002</v>
      </c>
      <c r="AY21" s="2">
        <f t="shared" si="15"/>
        <v>71407.355633040002</v>
      </c>
      <c r="AZ21" s="2">
        <f t="shared" si="16"/>
        <v>0</v>
      </c>
      <c r="BA21" s="2"/>
      <c r="BC21" s="22"/>
      <c r="BX21" s="2"/>
    </row>
    <row r="22" spans="1:76" x14ac:dyDescent="0.55000000000000004">
      <c r="A22">
        <f t="shared" si="5"/>
        <v>2009</v>
      </c>
      <c r="B22" s="2">
        <f t="shared" si="17"/>
        <v>0</v>
      </c>
      <c r="C22" s="2"/>
      <c r="D22" s="2">
        <f t="shared" si="18"/>
        <v>0</v>
      </c>
      <c r="E22" s="2">
        <f t="shared" si="18"/>
        <v>0</v>
      </c>
      <c r="F22" s="2"/>
      <c r="G22" s="2">
        <f t="shared" si="19"/>
        <v>0</v>
      </c>
      <c r="H22" s="2">
        <f t="shared" si="19"/>
        <v>75641.811822079268</v>
      </c>
      <c r="I22" s="2">
        <f t="shared" ref="I22:I24" si="28">SUM(B22:H22)</f>
        <v>75641.811822079268</v>
      </c>
      <c r="J22" s="2">
        <f t="shared" si="20"/>
        <v>-68.671810960731818</v>
      </c>
      <c r="K22" s="6">
        <f t="shared" si="21"/>
        <v>-9.070317301574268E-4</v>
      </c>
      <c r="L22" s="7">
        <f t="shared" si="22"/>
        <v>0.99909296826984262</v>
      </c>
      <c r="N22">
        <f t="shared" si="6"/>
        <v>2009</v>
      </c>
      <c r="O22" s="2">
        <f t="shared" si="23"/>
        <v>4423.6155840000001</v>
      </c>
      <c r="P22" s="2"/>
      <c r="Q22" s="2"/>
      <c r="R22">
        <f t="shared" si="7"/>
        <v>2009</v>
      </c>
      <c r="S22" s="2">
        <v>0</v>
      </c>
      <c r="T22" s="2"/>
      <c r="U22" s="2">
        <v>0</v>
      </c>
      <c r="V22" s="2">
        <v>0</v>
      </c>
      <c r="W22" s="2"/>
      <c r="X22" s="2">
        <v>0</v>
      </c>
      <c r="Y22" s="2">
        <f>H22-($O22)</f>
        <v>71218.196238079268</v>
      </c>
      <c r="Z22" s="2">
        <f t="shared" ref="Z22:Z24" si="29">SUM(S22:Y22)</f>
        <v>71218.196238079268</v>
      </c>
      <c r="AA22" s="2">
        <f t="shared" si="24"/>
        <v>-189.15939496073406</v>
      </c>
      <c r="AB22" s="6">
        <f t="shared" si="25"/>
        <v>-2.6490183438918789E-3</v>
      </c>
      <c r="AC22" s="7">
        <f t="shared" si="26"/>
        <v>0.99735098165610814</v>
      </c>
      <c r="AD22" s="2">
        <f t="shared" ref="AD22:AD24" si="30">Z22-(I22-O22)</f>
        <v>0</v>
      </c>
      <c r="AE22" s="2"/>
      <c r="AG22">
        <f t="shared" si="11"/>
        <v>2009</v>
      </c>
      <c r="AH22" s="6">
        <f t="shared" si="4"/>
        <v>0</v>
      </c>
      <c r="AI22" s="6"/>
      <c r="AJ22" s="6">
        <f t="shared" si="4"/>
        <v>0</v>
      </c>
      <c r="AK22" s="6">
        <f t="shared" si="4"/>
        <v>0</v>
      </c>
      <c r="AL22" s="6"/>
      <c r="AM22" s="6">
        <f t="shared" si="4"/>
        <v>0</v>
      </c>
      <c r="AN22" s="6">
        <f t="shared" si="12"/>
        <v>1</v>
      </c>
      <c r="AO22" s="55">
        <f t="shared" si="13"/>
        <v>1</v>
      </c>
      <c r="AQ22">
        <f t="shared" si="27"/>
        <v>2009</v>
      </c>
      <c r="AR22" s="24">
        <f>$Z22*AR$19</f>
        <v>14243.639247615854</v>
      </c>
      <c r="AS22" s="24"/>
      <c r="AT22" s="24">
        <f>$Z22*AT$19</f>
        <v>14243.639247615854</v>
      </c>
      <c r="AU22" s="24">
        <f>$Z22*AU$19</f>
        <v>7121.8196238079272</v>
      </c>
      <c r="AV22" s="24"/>
      <c r="AW22" s="24">
        <f>$Z22*AW$19</f>
        <v>14243.639247615854</v>
      </c>
      <c r="AX22" s="24">
        <f>$Z22*AX$19</f>
        <v>21365.45887142378</v>
      </c>
      <c r="AY22" s="2">
        <f t="shared" si="15"/>
        <v>71218.196238079268</v>
      </c>
      <c r="AZ22" s="2">
        <f t="shared" si="16"/>
        <v>0</v>
      </c>
      <c r="BA22" s="2"/>
      <c r="BC22" s="22"/>
      <c r="BX22" s="2"/>
    </row>
    <row r="23" spans="1:76" x14ac:dyDescent="0.55000000000000004">
      <c r="A23">
        <f t="shared" si="5"/>
        <v>2010</v>
      </c>
      <c r="B23" s="2">
        <f t="shared" si="17"/>
        <v>16367.365859435378</v>
      </c>
      <c r="C23" s="2"/>
      <c r="D23" s="2">
        <f t="shared" si="18"/>
        <v>17870.069800058849</v>
      </c>
      <c r="E23" s="2">
        <f t="shared" si="18"/>
        <v>9095.988023527485</v>
      </c>
      <c r="F23" s="2"/>
      <c r="G23" s="2">
        <f t="shared" si="19"/>
        <v>15827.531931950736</v>
      </c>
      <c r="H23" s="2">
        <f t="shared" si="19"/>
        <v>22737.121330969188</v>
      </c>
      <c r="I23" s="2">
        <f t="shared" si="28"/>
        <v>81898.076945941633</v>
      </c>
      <c r="J23" s="2">
        <f t="shared" si="20"/>
        <v>6256.2651238623657</v>
      </c>
      <c r="K23" s="6">
        <f t="shared" si="21"/>
        <v>8.2709086061793793E-2</v>
      </c>
      <c r="L23" s="7">
        <f t="shared" si="22"/>
        <v>1.0827090860617938</v>
      </c>
      <c r="N23">
        <f t="shared" si="6"/>
        <v>2010</v>
      </c>
      <c r="O23" s="2">
        <f t="shared" si="23"/>
        <v>4485.5462021760004</v>
      </c>
      <c r="P23" s="2"/>
      <c r="Q23" s="2"/>
      <c r="R23">
        <f t="shared" si="7"/>
        <v>2010</v>
      </c>
      <c r="S23" s="2">
        <f t="shared" si="8"/>
        <v>15470.256619000178</v>
      </c>
      <c r="T23" s="2"/>
      <c r="U23" s="2">
        <f t="shared" si="9"/>
        <v>16972.960559623651</v>
      </c>
      <c r="V23" s="2">
        <f t="shared" si="9"/>
        <v>8198.8787830922847</v>
      </c>
      <c r="W23" s="2"/>
      <c r="X23" s="2">
        <f t="shared" si="10"/>
        <v>14930.422691515536</v>
      </c>
      <c r="Y23" s="2">
        <f t="shared" si="10"/>
        <v>21840.01209053399</v>
      </c>
      <c r="Z23" s="2">
        <f t="shared" si="29"/>
        <v>77412.530743765645</v>
      </c>
      <c r="AA23" s="2">
        <f t="shared" si="24"/>
        <v>6194.3345056863764</v>
      </c>
      <c r="AB23" s="6">
        <f t="shared" si="25"/>
        <v>8.6976851884580042E-2</v>
      </c>
      <c r="AC23" s="7">
        <f t="shared" si="26"/>
        <v>1.0869768518845802</v>
      </c>
      <c r="AD23" s="2">
        <f t="shared" si="30"/>
        <v>0</v>
      </c>
      <c r="AE23" s="2"/>
      <c r="AG23">
        <f t="shared" si="11"/>
        <v>2010</v>
      </c>
      <c r="AH23" s="6">
        <f t="shared" si="4"/>
        <v>0.19984176295962347</v>
      </c>
      <c r="AI23" s="57"/>
      <c r="AJ23" s="6">
        <f t="shared" si="4"/>
        <v>0.21925339988953343</v>
      </c>
      <c r="AK23" s="6">
        <f t="shared" si="4"/>
        <v>0.10591151980588846</v>
      </c>
      <c r="AL23" s="6"/>
      <c r="AM23" s="6">
        <f t="shared" si="4"/>
        <v>0.19286829338954203</v>
      </c>
      <c r="AN23" s="6">
        <f t="shared" si="12"/>
        <v>0.2821250239554125</v>
      </c>
      <c r="AO23" s="55">
        <f t="shared" si="13"/>
        <v>0.99999999999999989</v>
      </c>
      <c r="AQ23">
        <f t="shared" si="27"/>
        <v>2010</v>
      </c>
      <c r="AR23" s="2">
        <f t="shared" ref="AR23" si="31">S23</f>
        <v>15470.256619000178</v>
      </c>
      <c r="AS23" s="2"/>
      <c r="AT23" s="2">
        <f t="shared" ref="AT23" si="32">U23</f>
        <v>16972.960559623651</v>
      </c>
      <c r="AU23" s="2">
        <f t="shared" ref="AU23" si="33">V23</f>
        <v>8198.8787830922847</v>
      </c>
      <c r="AV23" s="2"/>
      <c r="AW23" s="2">
        <f t="shared" ref="AW23" si="34">X23</f>
        <v>14930.422691515536</v>
      </c>
      <c r="AX23" s="2">
        <f t="shared" ref="AX23" si="35">Y23</f>
        <v>21840.01209053399</v>
      </c>
      <c r="AY23" s="2">
        <f t="shared" si="15"/>
        <v>77412.530743765645</v>
      </c>
      <c r="AZ23" s="2">
        <f t="shared" si="16"/>
        <v>0</v>
      </c>
      <c r="BA23" s="2"/>
      <c r="BC23" s="22"/>
      <c r="BX23" s="2"/>
    </row>
    <row r="24" spans="1:76" x14ac:dyDescent="0.55000000000000004">
      <c r="A24">
        <f t="shared" si="5"/>
        <v>2011</v>
      </c>
      <c r="B24" s="2">
        <f t="shared" si="17"/>
        <v>15775.020674394482</v>
      </c>
      <c r="C24" s="2"/>
      <c r="D24" s="2">
        <f t="shared" si="18"/>
        <v>16614.831091815591</v>
      </c>
      <c r="E24" s="2">
        <f t="shared" si="18"/>
        <v>7969.3101771657002</v>
      </c>
      <c r="F24" s="2"/>
      <c r="G24" s="2">
        <f t="shared" si="19"/>
        <v>12756.553147630875</v>
      </c>
      <c r="H24" s="2">
        <f t="shared" si="19"/>
        <v>23491.117004578362</v>
      </c>
      <c r="I24" s="2">
        <f t="shared" si="28"/>
        <v>76606.832095585007</v>
      </c>
      <c r="J24" s="2">
        <f t="shared" si="20"/>
        <v>-5291.2448503566266</v>
      </c>
      <c r="K24" s="6">
        <f t="shared" si="21"/>
        <v>-6.4607681250552593E-2</v>
      </c>
      <c r="L24" s="7">
        <f t="shared" si="22"/>
        <v>0.93539231874944739</v>
      </c>
      <c r="N24">
        <f t="shared" si="6"/>
        <v>2011</v>
      </c>
      <c r="O24" s="2">
        <f t="shared" si="23"/>
        <v>4620.1125882412807</v>
      </c>
      <c r="P24" s="2"/>
      <c r="Q24" s="2"/>
      <c r="R24">
        <f t="shared" si="7"/>
        <v>2011</v>
      </c>
      <c r="S24" s="2">
        <f t="shared" si="8"/>
        <v>14850.998156746226</v>
      </c>
      <c r="T24" s="2"/>
      <c r="U24" s="2">
        <f t="shared" si="9"/>
        <v>15690.808574167335</v>
      </c>
      <c r="V24" s="2">
        <f t="shared" si="9"/>
        <v>7045.2876595174439</v>
      </c>
      <c r="W24" s="2"/>
      <c r="X24" s="2">
        <f t="shared" si="10"/>
        <v>11832.530629982619</v>
      </c>
      <c r="Y24" s="2">
        <f t="shared" si="10"/>
        <v>22567.094486930106</v>
      </c>
      <c r="Z24" s="2">
        <f t="shared" si="29"/>
        <v>71986.719507343732</v>
      </c>
      <c r="AA24" s="2">
        <f t="shared" si="24"/>
        <v>-5425.8112364219123</v>
      </c>
      <c r="AB24" s="6">
        <f t="shared" si="25"/>
        <v>-7.0089573151680948E-2</v>
      </c>
      <c r="AC24" s="7">
        <f t="shared" si="26"/>
        <v>0.92991042684831904</v>
      </c>
      <c r="AD24" s="2">
        <f t="shared" si="30"/>
        <v>0</v>
      </c>
      <c r="AE24" s="2"/>
      <c r="AG24">
        <f t="shared" si="11"/>
        <v>2011</v>
      </c>
      <c r="AH24" s="6">
        <f t="shared" si="4"/>
        <v>0.20630191594202593</v>
      </c>
      <c r="AI24" s="57"/>
      <c r="AJ24" s="6">
        <f t="shared" si="4"/>
        <v>0.21796810136023265</v>
      </c>
      <c r="AK24" s="6">
        <f t="shared" si="4"/>
        <v>9.7869269606023906E-2</v>
      </c>
      <c r="AL24" s="57"/>
      <c r="AM24" s="6">
        <f t="shared" si="4"/>
        <v>0.16437102164067252</v>
      </c>
      <c r="AN24" s="6">
        <f t="shared" si="12"/>
        <v>0.31348969145104494</v>
      </c>
      <c r="AO24" s="55">
        <f t="shared" si="13"/>
        <v>1</v>
      </c>
      <c r="AQ24">
        <f t="shared" si="27"/>
        <v>2011</v>
      </c>
      <c r="AR24" s="2">
        <f t="shared" ref="AR24" si="36">S24</f>
        <v>14850.998156746226</v>
      </c>
      <c r="AS24" s="2"/>
      <c r="AT24" s="2">
        <f t="shared" ref="AT24" si="37">U24</f>
        <v>15690.808574167335</v>
      </c>
      <c r="AU24" s="2">
        <f t="shared" ref="AU24" si="38">V24</f>
        <v>7045.2876595174439</v>
      </c>
      <c r="AV24" s="2"/>
      <c r="AW24" s="2">
        <f t="shared" ref="AW24" si="39">X24</f>
        <v>11832.530629982619</v>
      </c>
      <c r="AX24" s="2">
        <f t="shared" ref="AX24" si="40">Y24</f>
        <v>22567.094486930106</v>
      </c>
      <c r="AY24" s="2">
        <f t="shared" si="15"/>
        <v>71986.719507343732</v>
      </c>
      <c r="AZ24" s="2">
        <f t="shared" si="16"/>
        <v>0</v>
      </c>
      <c r="BA24" s="2"/>
      <c r="BC24" s="22"/>
      <c r="BX24" s="2"/>
    </row>
    <row r="25" spans="1:76" x14ac:dyDescent="0.55000000000000004">
      <c r="A25">
        <f t="shared" si="5"/>
        <v>2012</v>
      </c>
      <c r="B25" s="2">
        <f t="shared" si="17"/>
        <v>17200.426065143478</v>
      </c>
      <c r="C25" s="2"/>
      <c r="D25" s="2">
        <f t="shared" si="18"/>
        <v>18169.956328885772</v>
      </c>
      <c r="E25" s="2">
        <f t="shared" si="18"/>
        <v>8316.257553294392</v>
      </c>
      <c r="F25" s="2"/>
      <c r="G25" s="2">
        <f t="shared" si="19"/>
        <v>13978.951686261466</v>
      </c>
      <c r="H25" s="2">
        <f t="shared" si="19"/>
        <v>23481.061813650773</v>
      </c>
      <c r="I25" s="2">
        <f t="shared" ref="I25:I27" si="41">SUM(B25:H25)</f>
        <v>81146.653447235876</v>
      </c>
      <c r="J25" s="2">
        <f t="shared" ref="J25:J27" si="42">I25-I24</f>
        <v>4539.8213516508695</v>
      </c>
      <c r="K25" s="6">
        <f t="shared" ref="K25:K27" si="43">(J25/I24)</f>
        <v>5.9261311654114301E-2</v>
      </c>
      <c r="L25" s="7">
        <f t="shared" ref="L25:L27" si="44">K25+1</f>
        <v>1.0592613116541143</v>
      </c>
      <c r="N25">
        <f t="shared" ref="N25:N27" si="45">A25</f>
        <v>2012</v>
      </c>
      <c r="O25" s="2">
        <f t="shared" si="23"/>
        <v>4703.2746148296237</v>
      </c>
      <c r="P25" s="2"/>
      <c r="Q25" s="2"/>
      <c r="R25">
        <f t="shared" ref="R25:R27" si="46">A25</f>
        <v>2012</v>
      </c>
      <c r="S25" s="2">
        <f t="shared" ref="S25:S27" si="47">B25-($O25/5)</f>
        <v>16259.771142177553</v>
      </c>
      <c r="T25" s="2"/>
      <c r="U25" s="2">
        <f t="shared" ref="U25:U27" si="48">D25-($O25/5)</f>
        <v>17229.301405919847</v>
      </c>
      <c r="V25" s="2">
        <f t="shared" ref="V25:V27" si="49">E25-($O25/5)</f>
        <v>7375.6026303284671</v>
      </c>
      <c r="W25" s="2"/>
      <c r="X25" s="2">
        <f t="shared" ref="X25:X27" si="50">G25-($O25/5)</f>
        <v>13038.296763295541</v>
      </c>
      <c r="Y25" s="2">
        <f t="shared" ref="Y25:Y27" si="51">H25-($O25/5)</f>
        <v>22540.406890684848</v>
      </c>
      <c r="Z25" s="2">
        <f t="shared" ref="Z25:Z27" si="52">SUM(S25:Y25)</f>
        <v>76443.378832406248</v>
      </c>
      <c r="AA25" s="2">
        <f t="shared" ref="AA25:AA27" si="53">Z25-Z24</f>
        <v>4456.6593250625156</v>
      </c>
      <c r="AB25" s="6">
        <f t="shared" ref="AB25:AB27" si="54">(AA25/Z24)</f>
        <v>6.1909465461999123E-2</v>
      </c>
      <c r="AC25" s="7">
        <f t="shared" ref="AC25:AC27" si="55">AB25+1</f>
        <v>1.0619094654619992</v>
      </c>
      <c r="AD25" s="2">
        <f t="shared" ref="AD25:AD27" si="56">Z25-(I25-O25)</f>
        <v>0</v>
      </c>
      <c r="AE25" s="2"/>
      <c r="AG25">
        <f t="shared" ref="AG25:AG27" si="57">A25</f>
        <v>2012</v>
      </c>
      <c r="AH25" s="6">
        <f t="shared" ref="AH25:AH27" si="58">S25/$Z25</f>
        <v>0.21270345961322987</v>
      </c>
      <c r="AI25" s="57"/>
      <c r="AJ25" s="6">
        <f t="shared" ref="AJ25:AJ27" si="59">U25/$Z25</f>
        <v>0.22538644509282102</v>
      </c>
      <c r="AK25" s="6">
        <f t="shared" ref="AK25:AK27" si="60">V25/$Z25</f>
        <v>9.6484518907761385E-2</v>
      </c>
      <c r="AL25" s="57"/>
      <c r="AM25" s="6">
        <f t="shared" ref="AM25:AM27" si="61">X25/$Z25</f>
        <v>0.17056149221086342</v>
      </c>
      <c r="AN25" s="6">
        <f t="shared" ref="AN25:AN27" si="62">Y25/$Z25</f>
        <v>0.29486408417532439</v>
      </c>
      <c r="AO25" s="55">
        <f t="shared" ref="AO25:AO27" si="63">SUM(AH25:AN25)</f>
        <v>1</v>
      </c>
      <c r="AQ25">
        <f t="shared" ref="AQ25:AQ27" si="64">AG25</f>
        <v>2012</v>
      </c>
      <c r="AR25" s="2">
        <f t="shared" ref="AR25:AR27" si="65">S25</f>
        <v>16259.771142177553</v>
      </c>
      <c r="AS25" s="2"/>
      <c r="AT25" s="2">
        <f t="shared" ref="AT25:AT27" si="66">U25</f>
        <v>17229.301405919847</v>
      </c>
      <c r="AU25" s="2">
        <f t="shared" ref="AU25:AU27" si="67">V25</f>
        <v>7375.6026303284671</v>
      </c>
      <c r="AV25" s="2"/>
      <c r="AW25" s="2">
        <f t="shared" ref="AW25:AW27" si="68">X25</f>
        <v>13038.296763295541</v>
      </c>
      <c r="AX25" s="2">
        <f t="shared" ref="AX25:AX27" si="69">Y25</f>
        <v>22540.406890684848</v>
      </c>
      <c r="AY25" s="2">
        <f t="shared" ref="AY25:AY27" si="70">Z25</f>
        <v>76443.378832406248</v>
      </c>
      <c r="AZ25" s="2">
        <f t="shared" ref="AZ25:AZ27" si="71">SUM(AR25:AX25)-Z25</f>
        <v>0</v>
      </c>
      <c r="BA25" s="2"/>
      <c r="BC25" s="22"/>
      <c r="BX25" s="2"/>
    </row>
    <row r="26" spans="1:76" x14ac:dyDescent="0.55000000000000004">
      <c r="A26">
        <f t="shared" si="5"/>
        <v>2013</v>
      </c>
      <c r="B26" s="2">
        <f t="shared" si="17"/>
        <v>21492.165495730293</v>
      </c>
      <c r="C26" s="2"/>
      <c r="D26" s="2">
        <f t="shared" si="18"/>
        <v>23259.556897991795</v>
      </c>
      <c r="E26" s="2">
        <f t="shared" si="18"/>
        <v>10150.304339858036</v>
      </c>
      <c r="F26" s="2"/>
      <c r="G26" s="2">
        <f t="shared" si="19"/>
        <v>14999.256596495188</v>
      </c>
      <c r="H26" s="2">
        <f t="shared" si="19"/>
        <v>22030.99369495537</v>
      </c>
      <c r="I26" s="2">
        <f t="shared" si="41"/>
        <v>91932.277025030678</v>
      </c>
      <c r="J26" s="2">
        <f t="shared" si="42"/>
        <v>10785.623577794802</v>
      </c>
      <c r="K26" s="6">
        <f t="shared" si="43"/>
        <v>0.1329151988357469</v>
      </c>
      <c r="L26" s="7">
        <f t="shared" si="44"/>
        <v>1.1329151988357469</v>
      </c>
      <c r="N26">
        <f t="shared" si="45"/>
        <v>2013</v>
      </c>
      <c r="O26" s="2">
        <f t="shared" si="23"/>
        <v>4757.6252661585313</v>
      </c>
      <c r="P26" s="2"/>
      <c r="Q26" s="2"/>
      <c r="R26">
        <f t="shared" si="46"/>
        <v>2013</v>
      </c>
      <c r="S26" s="2">
        <f t="shared" si="47"/>
        <v>20540.640442498585</v>
      </c>
      <c r="T26" s="2"/>
      <c r="U26" s="2">
        <f t="shared" si="48"/>
        <v>22308.031844760088</v>
      </c>
      <c r="V26" s="2">
        <f t="shared" si="49"/>
        <v>9198.7792866263298</v>
      </c>
      <c r="W26" s="2"/>
      <c r="X26" s="2">
        <f t="shared" si="50"/>
        <v>14047.731543263482</v>
      </c>
      <c r="Y26" s="2">
        <f t="shared" si="51"/>
        <v>21079.468641723663</v>
      </c>
      <c r="Z26" s="2">
        <f t="shared" si="52"/>
        <v>87174.651758872147</v>
      </c>
      <c r="AA26" s="2">
        <f t="shared" si="53"/>
        <v>10731.272926465899</v>
      </c>
      <c r="AB26" s="6">
        <f t="shared" si="54"/>
        <v>0.14038198062899657</v>
      </c>
      <c r="AC26" s="7">
        <f t="shared" si="55"/>
        <v>1.1403819806289965</v>
      </c>
      <c r="AD26" s="2">
        <f t="shared" si="56"/>
        <v>0</v>
      </c>
      <c r="AE26" s="2"/>
      <c r="AG26">
        <f t="shared" si="57"/>
        <v>2013</v>
      </c>
      <c r="AH26" s="6">
        <f t="shared" si="58"/>
        <v>0.23562629764572673</v>
      </c>
      <c r="AI26" s="57"/>
      <c r="AJ26" s="6">
        <f t="shared" si="59"/>
        <v>0.25590044117944755</v>
      </c>
      <c r="AK26" s="6">
        <f t="shared" si="60"/>
        <v>0.10552126221358986</v>
      </c>
      <c r="AL26" s="57"/>
      <c r="AM26" s="6">
        <f t="shared" si="61"/>
        <v>0.16114468208166696</v>
      </c>
      <c r="AN26" s="6">
        <f t="shared" si="62"/>
        <v>0.24180731687956886</v>
      </c>
      <c r="AO26" s="55">
        <f t="shared" si="63"/>
        <v>1</v>
      </c>
      <c r="AQ26">
        <f t="shared" si="64"/>
        <v>2013</v>
      </c>
      <c r="AR26" s="2">
        <f t="shared" si="65"/>
        <v>20540.640442498585</v>
      </c>
      <c r="AS26" s="2"/>
      <c r="AT26" s="2">
        <f t="shared" si="66"/>
        <v>22308.031844760088</v>
      </c>
      <c r="AU26" s="2">
        <f t="shared" si="67"/>
        <v>9198.7792866263298</v>
      </c>
      <c r="AV26" s="2"/>
      <c r="AW26" s="2">
        <f t="shared" si="68"/>
        <v>14047.731543263482</v>
      </c>
      <c r="AX26" s="2">
        <f t="shared" si="69"/>
        <v>21079.468641723663</v>
      </c>
      <c r="AY26" s="2">
        <f t="shared" si="70"/>
        <v>87174.651758872147</v>
      </c>
      <c r="AZ26" s="2">
        <f t="shared" si="71"/>
        <v>0</v>
      </c>
      <c r="BA26" s="2"/>
      <c r="BC26" s="22"/>
      <c r="BX26" s="2"/>
    </row>
    <row r="27" spans="1:76" x14ac:dyDescent="0.55000000000000004">
      <c r="A27">
        <f t="shared" si="5"/>
        <v>2014</v>
      </c>
      <c r="B27" s="2">
        <f t="shared" si="17"/>
        <v>23315.680966280142</v>
      </c>
      <c r="C27" s="2"/>
      <c r="D27" s="2">
        <f t="shared" si="18"/>
        <v>25341.924175647462</v>
      </c>
      <c r="E27" s="2">
        <f t="shared" si="18"/>
        <v>9876.729320050692</v>
      </c>
      <c r="F27" s="2"/>
      <c r="G27" s="2">
        <f t="shared" si="19"/>
        <v>13452.107725829112</v>
      </c>
      <c r="H27" s="2">
        <f t="shared" si="19"/>
        <v>22293.646035486949</v>
      </c>
      <c r="I27" s="2">
        <f t="shared" si="41"/>
        <v>94280.088223294355</v>
      </c>
      <c r="J27" s="2">
        <f t="shared" si="42"/>
        <v>2347.8111982636765</v>
      </c>
      <c r="K27" s="6">
        <f t="shared" si="43"/>
        <v>2.5538486310139264E-2</v>
      </c>
      <c r="L27" s="7">
        <f t="shared" si="44"/>
        <v>1.0255384863101393</v>
      </c>
      <c r="N27">
        <f t="shared" si="45"/>
        <v>2014</v>
      </c>
      <c r="O27" s="2">
        <f t="shared" si="23"/>
        <v>4818.9986320919761</v>
      </c>
      <c r="P27" s="2"/>
      <c r="Q27" s="2"/>
      <c r="R27">
        <f t="shared" si="46"/>
        <v>2014</v>
      </c>
      <c r="S27" s="2">
        <f t="shared" si="47"/>
        <v>22351.881239861748</v>
      </c>
      <c r="T27" s="2"/>
      <c r="U27" s="2">
        <f t="shared" si="48"/>
        <v>24378.124449229068</v>
      </c>
      <c r="V27" s="2">
        <f t="shared" si="49"/>
        <v>8912.929593632296</v>
      </c>
      <c r="W27" s="2"/>
      <c r="X27" s="2">
        <f t="shared" si="50"/>
        <v>12488.307999410716</v>
      </c>
      <c r="Y27" s="2">
        <f t="shared" si="51"/>
        <v>21329.846309068555</v>
      </c>
      <c r="Z27" s="2">
        <f t="shared" si="52"/>
        <v>89461.089591202384</v>
      </c>
      <c r="AA27" s="2">
        <f t="shared" si="53"/>
        <v>2286.4378323302371</v>
      </c>
      <c r="AB27" s="6">
        <f t="shared" si="54"/>
        <v>2.6228241652798301E-2</v>
      </c>
      <c r="AC27" s="7">
        <f t="shared" si="55"/>
        <v>1.0262282416527984</v>
      </c>
      <c r="AD27" s="2">
        <f t="shared" si="56"/>
        <v>0</v>
      </c>
      <c r="AE27" s="2"/>
      <c r="AG27">
        <f t="shared" si="57"/>
        <v>2014</v>
      </c>
      <c r="AH27" s="6">
        <f t="shared" si="58"/>
        <v>0.24985031304671071</v>
      </c>
      <c r="AI27" s="57"/>
      <c r="AJ27" s="6">
        <f t="shared" si="59"/>
        <v>0.2724997488922426</v>
      </c>
      <c r="AK27" s="6">
        <f t="shared" si="60"/>
        <v>9.9629119591103155E-2</v>
      </c>
      <c r="AL27" s="57"/>
      <c r="AM27" s="6">
        <f t="shared" si="61"/>
        <v>0.13959485689786208</v>
      </c>
      <c r="AN27" s="6">
        <f t="shared" si="62"/>
        <v>0.23842596157208143</v>
      </c>
      <c r="AO27" s="55">
        <f t="shared" si="63"/>
        <v>0.99999999999999989</v>
      </c>
      <c r="AQ27">
        <f t="shared" si="64"/>
        <v>2014</v>
      </c>
      <c r="AR27" s="2">
        <f t="shared" si="65"/>
        <v>22351.881239861748</v>
      </c>
      <c r="AS27" s="2"/>
      <c r="AT27" s="2">
        <f t="shared" si="66"/>
        <v>24378.124449229068</v>
      </c>
      <c r="AU27" s="2">
        <f t="shared" si="67"/>
        <v>8912.929593632296</v>
      </c>
      <c r="AV27" s="2"/>
      <c r="AW27" s="2">
        <f t="shared" si="68"/>
        <v>12488.307999410716</v>
      </c>
      <c r="AX27" s="2">
        <f t="shared" si="69"/>
        <v>21329.846309068555</v>
      </c>
      <c r="AY27" s="2">
        <f t="shared" si="70"/>
        <v>89461.089591202384</v>
      </c>
      <c r="AZ27" s="2">
        <f t="shared" si="71"/>
        <v>0</v>
      </c>
      <c r="BA27" s="2"/>
      <c r="BC27" s="22"/>
      <c r="BX27" s="2"/>
    </row>
    <row r="28" spans="1:76" x14ac:dyDescent="0.55000000000000004">
      <c r="A28">
        <f t="shared" ref="A28:A29" si="72">A12</f>
        <v>2015</v>
      </c>
      <c r="B28" s="2">
        <f t="shared" ref="B28:B29" si="73">AR27*(1+(B12/100))</f>
        <v>22631.279755360018</v>
      </c>
      <c r="C28" s="2"/>
      <c r="D28" s="2">
        <f t="shared" ref="D28:E28" si="74">AT27*(1+(D12/100))</f>
        <v>24022.203832270327</v>
      </c>
      <c r="E28" s="2">
        <f t="shared" si="74"/>
        <v>8576.0208549929939</v>
      </c>
      <c r="F28" s="2"/>
      <c r="G28" s="2">
        <f t="shared" ref="G28:H28" si="75">AW27*(1+(G12/100))</f>
        <v>11942.568939836468</v>
      </c>
      <c r="H28" s="2">
        <f t="shared" si="75"/>
        <v>21393.835847995757</v>
      </c>
      <c r="I28" s="2">
        <f t="shared" ref="I28:I29" si="76">SUM(B28:H28)</f>
        <v>88565.909230455552</v>
      </c>
      <c r="J28" s="2">
        <f t="shared" ref="J28:J29" si="77">I28-I27</f>
        <v>-5714.1789928388025</v>
      </c>
      <c r="K28" s="6">
        <f t="shared" ref="K28:K29" si="78">(J28/I27)</f>
        <v>-6.0608545245579917E-2</v>
      </c>
      <c r="L28" s="7">
        <f t="shared" ref="L28:L29" si="79">K28+1</f>
        <v>0.9393914547544201</v>
      </c>
      <c r="N28">
        <f t="shared" ref="N28:N29" si="80">A28</f>
        <v>2015</v>
      </c>
      <c r="O28" s="2">
        <f t="shared" ref="O28:O29" si="81">O27*(1+O12)</f>
        <v>4840.202226073181</v>
      </c>
      <c r="P28" s="2"/>
      <c r="Q28" s="2"/>
      <c r="R28">
        <f t="shared" ref="R28:R29" si="82">A28</f>
        <v>2015</v>
      </c>
      <c r="S28" s="2">
        <f t="shared" ref="S28:S29" si="83">B28-($O28/5)</f>
        <v>21663.239310145382</v>
      </c>
      <c r="T28" s="2"/>
      <c r="U28" s="2">
        <f t="shared" ref="U28:U29" si="84">D28-($O28/5)</f>
        <v>23054.163387055691</v>
      </c>
      <c r="V28" s="2">
        <f t="shared" ref="V28:V29" si="85">E28-($O28/5)</f>
        <v>7607.9804097783581</v>
      </c>
      <c r="W28" s="2"/>
      <c r="X28" s="2">
        <f t="shared" ref="X28:X29" si="86">G28-($O28/5)</f>
        <v>10974.528494621833</v>
      </c>
      <c r="Y28" s="2">
        <f t="shared" ref="Y28:Y29" si="87">H28-($O28/5)</f>
        <v>20425.795402781121</v>
      </c>
      <c r="Z28" s="2">
        <f t="shared" ref="Z28:Z29" si="88">SUM(S28:Y28)</f>
        <v>83725.707004382391</v>
      </c>
      <c r="AA28" s="2">
        <f t="shared" ref="AA28:AA29" si="89">Z28-Z27</f>
        <v>-5735.3825868199929</v>
      </c>
      <c r="AB28" s="6">
        <f t="shared" ref="AB28:AB29" si="90">(AA28/Z27)</f>
        <v>-6.4110359185520258E-2</v>
      </c>
      <c r="AC28" s="7">
        <f t="shared" ref="AC28:AC29" si="91">AB28+1</f>
        <v>0.93588964081447978</v>
      </c>
      <c r="AD28" s="2">
        <f t="shared" ref="AD28:AD29" si="92">Z28-(I28-O28)</f>
        <v>0</v>
      </c>
      <c r="AE28" s="2"/>
      <c r="AG28">
        <f t="shared" ref="AG28:AG29" si="93">A28</f>
        <v>2015</v>
      </c>
      <c r="AH28" s="6">
        <f t="shared" ref="AH28:AH29" si="94">S28/$Z28</f>
        <v>0.25874059575288483</v>
      </c>
      <c r="AI28" s="57"/>
      <c r="AJ28" s="6">
        <f t="shared" ref="AJ28:AJ29" si="95">U28/$Z28</f>
        <v>0.27535346325411125</v>
      </c>
      <c r="AK28" s="6">
        <f t="shared" ref="AK28:AK29" si="96">V28/$Z28</f>
        <v>9.0867914789661192E-2</v>
      </c>
      <c r="AL28" s="57"/>
      <c r="AM28" s="6">
        <f t="shared" ref="AM28:AM29" si="97">X28/$Z28</f>
        <v>0.13107716718411708</v>
      </c>
      <c r="AN28" s="6">
        <f t="shared" ref="AN28:AN29" si="98">Y28/$Z28</f>
        <v>0.2439608590192256</v>
      </c>
      <c r="AO28" s="55">
        <f t="shared" ref="AO28:AO29" si="99">SUM(AH28:AN28)</f>
        <v>0.99999999999999989</v>
      </c>
      <c r="AQ28">
        <f t="shared" ref="AQ28:AQ29" si="100">AG28</f>
        <v>2015</v>
      </c>
      <c r="AR28" s="2">
        <f t="shared" ref="AR28:AR29" si="101">S28</f>
        <v>21663.239310145382</v>
      </c>
      <c r="AS28" s="2"/>
      <c r="AT28" s="2">
        <f t="shared" ref="AT28:AT29" si="102">U28</f>
        <v>23054.163387055691</v>
      </c>
      <c r="AU28" s="2">
        <f t="shared" ref="AU28:AU29" si="103">V28</f>
        <v>7607.9804097783581</v>
      </c>
      <c r="AV28" s="2"/>
      <c r="AW28" s="2">
        <f t="shared" ref="AW28:AW29" si="104">X28</f>
        <v>10974.528494621833</v>
      </c>
      <c r="AX28" s="2">
        <f t="shared" ref="AX28:AX29" si="105">Y28</f>
        <v>20425.795402781121</v>
      </c>
      <c r="AY28" s="2">
        <f t="shared" ref="AY28:AY29" si="106">Z28</f>
        <v>83725.707004382391</v>
      </c>
      <c r="AZ28" s="2">
        <f t="shared" ref="AZ28:AZ29" si="107">SUM(AR28:AX28)-Z28</f>
        <v>0</v>
      </c>
      <c r="BA28" s="2"/>
      <c r="BC28" s="22"/>
      <c r="BX28" s="2"/>
    </row>
    <row r="29" spans="1:76" x14ac:dyDescent="0.55000000000000004">
      <c r="A29">
        <f t="shared" si="72"/>
        <v>2016</v>
      </c>
      <c r="B29" s="2">
        <f t="shared" si="73"/>
        <v>24223.834196604566</v>
      </c>
      <c r="C29" s="2"/>
      <c r="D29" s="2">
        <f t="shared" ref="D29:E29" si="108">AT28*(1+(D13/100))</f>
        <v>25606.259274002758</v>
      </c>
      <c r="E29" s="2">
        <f t="shared" si="108"/>
        <v>8990.3504502350861</v>
      </c>
      <c r="F29" s="2"/>
      <c r="G29" s="2">
        <f t="shared" ref="G29:H29" si="109">AW28*(1+(G13/100))</f>
        <v>11484.844069621748</v>
      </c>
      <c r="H29" s="2">
        <f t="shared" si="109"/>
        <v>20936.440287850648</v>
      </c>
      <c r="I29" s="2">
        <f t="shared" si="76"/>
        <v>91241.728278314811</v>
      </c>
      <c r="J29" s="2">
        <f t="shared" si="77"/>
        <v>2675.8190478592587</v>
      </c>
      <c r="K29" s="6">
        <f t="shared" si="78"/>
        <v>3.0212742929071775E-2</v>
      </c>
      <c r="L29" s="7">
        <f t="shared" si="79"/>
        <v>1.0302127429290717</v>
      </c>
      <c r="N29">
        <f t="shared" si="80"/>
        <v>2016</v>
      </c>
      <c r="O29" s="2">
        <f t="shared" si="81"/>
        <v>4922.4856639164245</v>
      </c>
      <c r="P29" s="2"/>
      <c r="Q29" s="2"/>
      <c r="R29">
        <f t="shared" si="82"/>
        <v>2016</v>
      </c>
      <c r="S29" s="2">
        <f t="shared" si="83"/>
        <v>23239.33706382128</v>
      </c>
      <c r="T29" s="2"/>
      <c r="U29" s="2">
        <f t="shared" si="84"/>
        <v>24621.762141219471</v>
      </c>
      <c r="V29" s="2">
        <f t="shared" si="85"/>
        <v>8005.8533174518016</v>
      </c>
      <c r="W29" s="2"/>
      <c r="X29" s="2">
        <f t="shared" si="86"/>
        <v>10500.346936838463</v>
      </c>
      <c r="Y29" s="2">
        <f t="shared" si="87"/>
        <v>19951.943155067362</v>
      </c>
      <c r="Z29" s="2">
        <f t="shared" si="88"/>
        <v>86319.242614398376</v>
      </c>
      <c r="AA29" s="2">
        <f t="shared" si="89"/>
        <v>2593.5356100159843</v>
      </c>
      <c r="AB29" s="6">
        <f t="shared" si="90"/>
        <v>3.0976574612624444E-2</v>
      </c>
      <c r="AC29" s="7">
        <f t="shared" si="91"/>
        <v>1.0309765746126245</v>
      </c>
      <c r="AD29" s="2">
        <f t="shared" si="92"/>
        <v>0</v>
      </c>
      <c r="AE29" s="2"/>
      <c r="AG29">
        <f t="shared" si="93"/>
        <v>2016</v>
      </c>
      <c r="AH29" s="6">
        <f t="shared" si="94"/>
        <v>0.26922545147476618</v>
      </c>
      <c r="AI29" s="57"/>
      <c r="AJ29" s="6">
        <f t="shared" si="95"/>
        <v>0.2852407110568469</v>
      </c>
      <c r="AK29" s="6">
        <f t="shared" si="96"/>
        <v>9.2747029225166006E-2</v>
      </c>
      <c r="AL29" s="57"/>
      <c r="AM29" s="6">
        <f t="shared" si="97"/>
        <v>0.12164549431631558</v>
      </c>
      <c r="AN29" s="6">
        <f t="shared" si="98"/>
        <v>0.23114131392690535</v>
      </c>
      <c r="AO29" s="55">
        <f t="shared" si="99"/>
        <v>1</v>
      </c>
      <c r="AQ29">
        <f t="shared" si="100"/>
        <v>2016</v>
      </c>
      <c r="AR29" s="2">
        <f t="shared" si="101"/>
        <v>23239.33706382128</v>
      </c>
      <c r="AS29" s="2"/>
      <c r="AT29" s="2">
        <f t="shared" si="102"/>
        <v>24621.762141219471</v>
      </c>
      <c r="AU29" s="2">
        <f t="shared" si="103"/>
        <v>8005.8533174518016</v>
      </c>
      <c r="AV29" s="2"/>
      <c r="AW29" s="2">
        <f t="shared" si="104"/>
        <v>10500.346936838463</v>
      </c>
      <c r="AX29" s="2">
        <f t="shared" si="105"/>
        <v>19951.943155067362</v>
      </c>
      <c r="AY29" s="2">
        <f t="shared" si="106"/>
        <v>86319.242614398376</v>
      </c>
      <c r="AZ29" s="2">
        <f t="shared" si="107"/>
        <v>0</v>
      </c>
      <c r="BA29" s="2"/>
      <c r="BC29" s="22"/>
      <c r="BX29" s="2"/>
    </row>
    <row r="30" spans="1:76" x14ac:dyDescent="0.55000000000000004">
      <c r="A30" s="9" t="s">
        <v>46</v>
      </c>
      <c r="B30" s="10">
        <f>AR30</f>
        <v>23239.33706382128</v>
      </c>
      <c r="C30" s="10"/>
      <c r="D30" s="10">
        <f>AT30</f>
        <v>24621.762141219471</v>
      </c>
      <c r="E30" s="10">
        <f>AU30</f>
        <v>8005.8533174518016</v>
      </c>
      <c r="F30" s="10"/>
      <c r="G30" s="10">
        <f>AW30</f>
        <v>10500.346936838463</v>
      </c>
      <c r="H30" s="10">
        <f>AX30</f>
        <v>19951.943155067362</v>
      </c>
      <c r="I30" s="10">
        <f>SUM(B30:H30)</f>
        <v>86319.242614398376</v>
      </c>
      <c r="J30" s="10"/>
      <c r="K30" s="10"/>
      <c r="N30" t="s">
        <v>79</v>
      </c>
      <c r="O30" s="2">
        <f>O27</f>
        <v>4818.9986320919761</v>
      </c>
      <c r="P30" s="2"/>
      <c r="R30" s="9" t="s">
        <v>46</v>
      </c>
      <c r="S30" s="10">
        <f>S29</f>
        <v>23239.33706382128</v>
      </c>
      <c r="T30" s="10"/>
      <c r="U30" s="10">
        <f>U29</f>
        <v>24621.762141219471</v>
      </c>
      <c r="V30" s="10">
        <f>V29</f>
        <v>8005.8533174518016</v>
      </c>
      <c r="W30" s="10"/>
      <c r="X30" s="10">
        <f>X29</f>
        <v>10500.346936838463</v>
      </c>
      <c r="Y30" s="10">
        <f>Y29</f>
        <v>19951.943155067362</v>
      </c>
      <c r="Z30" s="56">
        <f>SUM(S30:Y30)</f>
        <v>86319.242614398376</v>
      </c>
      <c r="AA30" s="40"/>
      <c r="AB30" s="40"/>
      <c r="AC30" s="40"/>
      <c r="AD30" s="40"/>
      <c r="AE30" s="40"/>
      <c r="AK30" s="7"/>
      <c r="AQ30" s="9" t="s">
        <v>46</v>
      </c>
      <c r="AR30" s="10">
        <f>AR29</f>
        <v>23239.33706382128</v>
      </c>
      <c r="AS30" s="10"/>
      <c r="AT30" s="10">
        <f>AT29</f>
        <v>24621.762141219471</v>
      </c>
      <c r="AU30" s="10">
        <f>AU29</f>
        <v>8005.8533174518016</v>
      </c>
      <c r="AV30" s="10"/>
      <c r="AW30" s="10">
        <f>AW29</f>
        <v>10500.346936838463</v>
      </c>
      <c r="AX30" s="10">
        <f>AX29</f>
        <v>19951.943155067362</v>
      </c>
      <c r="AY30" s="56">
        <f>SUM(AR30:AX30)</f>
        <v>86319.242614398376</v>
      </c>
      <c r="AZ30" s="2">
        <f t="shared" si="16"/>
        <v>0</v>
      </c>
    </row>
    <row r="31" spans="1:76" x14ac:dyDescent="0.55000000000000004">
      <c r="A31" s="11" t="s">
        <v>95</v>
      </c>
      <c r="I31" s="6">
        <f>(Z30-Z19)/Z19</f>
        <v>-0.13680757385601625</v>
      </c>
      <c r="K31" s="6"/>
      <c r="N31" t="s">
        <v>38</v>
      </c>
      <c r="O31" s="2">
        <f>SUM(O20:O29)</f>
        <v>46178.116777487026</v>
      </c>
      <c r="P31" s="2"/>
    </row>
    <row r="32" spans="1:76" x14ac:dyDescent="0.55000000000000004">
      <c r="A32" s="1" t="s">
        <v>96</v>
      </c>
      <c r="I32" s="12">
        <f>STDEV(AC20:AC29)</f>
        <v>0.12366291454519816</v>
      </c>
    </row>
    <row r="33" spans="1:16" x14ac:dyDescent="0.55000000000000004">
      <c r="A33" s="1" t="s">
        <v>97</v>
      </c>
      <c r="I33" s="13">
        <f>((1+I31)^(1/I40))-1</f>
        <v>-1.4604074671347389E-2</v>
      </c>
    </row>
    <row r="34" spans="1:16" x14ac:dyDescent="0.55000000000000004">
      <c r="A34" s="1" t="s">
        <v>50</v>
      </c>
      <c r="I34" s="27">
        <f>AA21</f>
        <v>-31867.716366959998</v>
      </c>
      <c r="O34" s="2"/>
      <c r="P34" s="2"/>
    </row>
    <row r="35" spans="1:16" x14ac:dyDescent="0.55000000000000004">
      <c r="A35" s="1" t="s">
        <v>51</v>
      </c>
      <c r="I35" s="28">
        <f>AB21</f>
        <v>-0.308571233597978</v>
      </c>
    </row>
    <row r="36" spans="1:16" x14ac:dyDescent="0.55000000000000004">
      <c r="A36" s="1" t="s">
        <v>81</v>
      </c>
      <c r="I36" s="2">
        <f>O31</f>
        <v>46178.116777487026</v>
      </c>
    </row>
    <row r="37" spans="1:16" x14ac:dyDescent="0.55000000000000004">
      <c r="A37" s="3" t="s">
        <v>52</v>
      </c>
      <c r="I37" s="29">
        <f>I30-Z27</f>
        <v>-3141.8469768040086</v>
      </c>
    </row>
    <row r="38" spans="1:16" x14ac:dyDescent="0.55000000000000004">
      <c r="A38" s="3" t="s">
        <v>147</v>
      </c>
      <c r="I38" s="29">
        <f>((SUM(AA20:AA29)))-(SUM(AA20:AA29))</f>
        <v>0</v>
      </c>
    </row>
    <row r="39" spans="1:16" x14ac:dyDescent="0.55000000000000004">
      <c r="A39" s="3" t="s">
        <v>148</v>
      </c>
      <c r="I39" s="29">
        <f>(SUM(O20:O29))-I36</f>
        <v>0</v>
      </c>
    </row>
    <row r="40" spans="1:16" x14ac:dyDescent="0.55000000000000004">
      <c r="A40" s="3" t="s">
        <v>154</v>
      </c>
      <c r="I40" s="3">
        <f>COUNTA(I20:I29)</f>
        <v>10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Notes</vt:lpstr>
      <vt:lpstr>Summary</vt:lpstr>
      <vt:lpstr>Non-Rebalanced Strategy</vt:lpstr>
      <vt:lpstr>Rebalanced Strategy</vt:lpstr>
      <vt:lpstr>Panic Portfolio</vt:lpstr>
      <vt:lpstr>4% Withdrawals-No Rebalancing</vt:lpstr>
      <vt:lpstr>4% Withdrawals-Rebalanced</vt:lpstr>
      <vt:lpstr>4% Withdrawals-Panic</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2014-03-14T21:59:20Z</cp:lastPrinted>
  <dcterms:created xsi:type="dcterms:W3CDTF">2014-01-10T23:26:08Z</dcterms:created>
  <dcterms:modified xsi:type="dcterms:W3CDTF">2017-02-07T13:59:53Z</dcterms:modified>
</cp:coreProperties>
</file>